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7"/>
  </bookViews>
  <sheets>
    <sheet name="选股逻辑" sheetId="1" r:id="rId1"/>
    <sheet name="资产负债表-低价股F" sheetId="14" r:id="rId2"/>
    <sheet name="估值方法" sheetId="23" r:id="rId3"/>
    <sheet name="损益表分析-收益股G" sheetId="15" r:id="rId4"/>
    <sheet name="成长股十五原则" sheetId="17" r:id="rId5"/>
    <sheet name="公司分析" sheetId="22" r:id="rId6"/>
    <sheet name="债券选择原则-H" sheetId="16" r:id="rId7"/>
    <sheet name="保守型投资要素" sheetId="21" r:id="rId8"/>
  </sheets>
  <externalReferences>
    <externalReference r:id="rId9"/>
    <externalReference r:id="rId10"/>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6" i="14" l="1"/>
  <c r="P16" i="14"/>
  <c r="O16" i="14"/>
  <c r="H16" i="14"/>
  <c r="G16" i="14"/>
  <c r="B16" i="14"/>
  <c r="P6" i="23" l="1"/>
  <c r="W6" i="23" l="1"/>
  <c r="S6" i="23"/>
  <c r="R6" i="23"/>
  <c r="R5" i="23" l="1"/>
  <c r="S5" i="23" l="1"/>
  <c r="W5" i="23" s="1"/>
  <c r="G9" i="14" l="1"/>
  <c r="G13" i="14" l="1"/>
  <c r="F9" i="14"/>
  <c r="F13" i="14"/>
  <c r="B15" i="14" l="1"/>
  <c r="Q15" i="14" l="1"/>
  <c r="P15" i="14"/>
  <c r="O15" i="14"/>
  <c r="P5" i="21" l="1"/>
  <c r="J6" i="15" l="1"/>
  <c r="B5" i="15" l="1"/>
  <c r="Q14" i="14"/>
  <c r="P14" i="14"/>
  <c r="O14" i="14"/>
  <c r="B14" i="14"/>
  <c r="Q13" i="14" l="1"/>
  <c r="P13" i="14"/>
  <c r="O13" i="14"/>
  <c r="B13" i="14"/>
  <c r="M4" i="17" l="1"/>
  <c r="L4" i="17"/>
  <c r="K4" i="17"/>
  <c r="Q12" i="14" l="1"/>
  <c r="P12" i="14"/>
  <c r="O12" i="14"/>
  <c r="B12" i="14"/>
  <c r="Q11" i="14" l="1"/>
  <c r="P11" i="14"/>
  <c r="O11" i="14"/>
  <c r="B11" i="14"/>
  <c r="L6" i="17" l="1"/>
  <c r="L5" i="17"/>
  <c r="K6" i="17" l="1"/>
  <c r="K5" i="17"/>
  <c r="M6" i="17" l="1"/>
  <c r="M5" i="17" l="1"/>
  <c r="H5" i="17"/>
  <c r="G5" i="17"/>
  <c r="E5" i="17"/>
  <c r="Q10" i="14" l="1"/>
  <c r="P10" i="14"/>
  <c r="B10" i="14" l="1"/>
  <c r="Q9" i="14" l="1"/>
  <c r="P9" i="14"/>
  <c r="O9" i="14"/>
  <c r="B9" i="14" l="1"/>
  <c r="Q7" i="14" l="1"/>
  <c r="P7" i="14"/>
  <c r="Q5" i="14" l="1"/>
  <c r="P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<sst xmlns="http://schemas.openxmlformats.org/spreadsheetml/2006/main" count="469" uniqueCount="427">
  <si>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</si>
  <si>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</si>
  <si>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</si>
  <si>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</si>
  <si>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</si>
  <si>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</si>
  <si>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</si>
  <si>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</si>
  <si>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</si>
  <si>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</si>
  <si>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</si>
  <si>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</si>
  <si>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</si>
  <si>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</si>
  <si>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</si>
  <si>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</si>
  <si>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</si>
  <si>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</si>
  <si>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</si>
  <si>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</si>
  <si>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</si>
  <si>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</si>
  <si>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</si>
  <si>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</si>
  <si>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</si>
  <si>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</si>
  <si>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</si>
  <si>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</si>
  <si>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</si>
  <si>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</si>
  <si>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</si>
  <si>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</si>
  <si>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</si>
  <si>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</si>
  <si>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</si>
  <si>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</si>
  <si>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</si>
  <si>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</si>
  <si>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</si>
  <si>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</si>
  <si>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</si>
  <si>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</si>
  <si>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</si>
  <si>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</si>
  <si>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</si>
  <si>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</si>
  <si>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</si>
  <si>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</si>
  <si>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</si>
  <si>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</si>
  <si>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</si>
  <si>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</si>
  <si>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</si>
  <si>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</si>
  <si>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</si>
  <si>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</si>
  <si>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</si>
  <si>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</si>
  <si>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</si>
  <si>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</si>
  <si>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</si>
  <si>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</si>
  <si>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</si>
  <si>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</si>
  <si>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</si>
  <si>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</si>
  <si>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</si>
  <si>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</si>
  <si>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</si>
  <si>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</si>
  <si>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</si>
  <si>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</si>
  <si>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</si>
  <si>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</si>
  <si>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</si>
  <si>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</si>
  <si>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</si>
  <si>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</si>
  <si>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</si>
  <si>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</si>
  <si>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</si>
  <si>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</si>
  <si>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</si>
  <si>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</si>
  <si>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</si>
  <si>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</si>
  <si>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</si>
  <si>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</si>
  <si>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</si>
  <si>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</si>
  <si>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</si>
  <si>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</si>
  <si>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</si>
  <si>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</si>
  <si>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</si>
  <si>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</si>
  <si>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</si>
  <si>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</si>
  <si>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</si>
  <si>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</si>
  <si>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</si>
  <si>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</si>
  <si>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</si>
  <si>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</si>
  <si>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</si>
  <si>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</si>
  <si>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</si>
  <si>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</si>
  <si>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</si>
  <si>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</si>
  <si>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</si>
  <si>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</si>
  <si>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</si>
  <si>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</si>
  <si>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</si>
  <si>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</si>
  <si>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</si>
  <si>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</si>
  <si>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</si>
  <si>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</si>
  <si>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</si>
  <si>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</si>
  <si>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</si>
  <si>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</si>
  <si>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</si>
  <si>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</si>
  <si>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</si>
  <si>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</si>
  <si>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</si>
  <si>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</si>
  <si>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</si>
  <si>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</si>
  <si>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</si>
  <si>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</si>
  <si>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</si>
  <si>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</si>
  <si>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</si>
  <si>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</si>
  <si>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</si>
  <si>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</si>
  <si>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</si>
  <si>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</si>
  <si>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</si>
  <si>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</si>
  <si>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</si>
  <si>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</si>
  <si>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</si>
  <si>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</si>
  <si>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</si>
  <si>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</si>
  <si>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</si>
  <si>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</si>
  <si>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</si>
  <si>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</si>
  <si>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</si>
  <si>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</si>
  <si>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</si>
  <si>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</si>
  <si>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</si>
  <si>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</si>
  <si>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</si>
  <si>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</si>
  <si>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</si>
  <si>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</si>
  <si>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</si>
  <si>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</si>
  <si>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</si>
  <si>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</si>
  <si>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</si>
  <si>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</si>
  <si>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</si>
  <si>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</si>
  <si>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</si>
  <si>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</si>
  <si>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</si>
  <si>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</si>
  <si>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</si>
  <si>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</si>
  <si>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</si>
  <si>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</si>
  <si>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</si>
  <si>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</si>
  <si>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</si>
  <si>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</si>
  <si>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</si>
  <si>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</si>
  <si>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</si>
  <si>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</si>
  <si>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</si>
  <si>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</si>
  <si>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</si>
  <si>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</si>
  <si>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</si>
  <si>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</si>
  <si>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</si>
  <si>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</si>
  <si>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</si>
  <si>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</si>
  <si>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</si>
  <si>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</si>
  <si>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</si>
  <si>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</si>
  <si>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</si>
  <si>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</si>
  <si>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</si>
  <si>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</si>
  <si>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</si>
  <si>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</si>
  <si>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</si>
  <si>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</si>
  <si>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</si>
  <si>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</si>
  <si>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</si>
  <si>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</si>
  <si>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</si>
  <si>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</si>
  <si>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</si>
  <si>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</si>
  <si>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</si>
  <si>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</si>
  <si>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</si>
  <si>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</si>
  <si>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</si>
  <si>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</si>
  <si>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</si>
  <si>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</si>
  <si>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</si>
  <si>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</si>
  <si>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</si>
  <si>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</si>
  <si>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</si>
  <si>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</si>
  <si>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</si>
  <si>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</si>
  <si>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</si>
  <si>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</si>
  <si>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</si>
  <si>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</si>
  <si>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</si>
  <si>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</si>
  <si>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</si>
  <si>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</si>
  <si>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</si>
  <si>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</si>
  <si>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</si>
  <si>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</si>
  <si>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</si>
  <si>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</si>
  <si>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</si>
  <si>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</si>
  <si>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</si>
  <si>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</si>
  <si>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</si>
  <si>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</si>
  <si>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</si>
  <si>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</si>
  <si>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</si>
  <si>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</si>
  <si>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</si>
  <si>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</si>
  <si>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</si>
  <si>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</si>
  <si>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</si>
  <si>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</si>
  <si>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</si>
  <si>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</si>
  <si>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</si>
  <si>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</si>
  <si>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</si>
  <si>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</si>
  <si>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</si>
  <si>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</si>
  <si>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</si>
  <si>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</si>
  <si>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</si>
  <si>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</si>
  <si>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</si>
  <si>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</si>
  <si>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</si>
  <si>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</si>
  <si>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</si>
  <si>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</si>
  <si>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</si>
  <si>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</si>
  <si>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</si>
  <si>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</si>
  <si>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</si>
  <si>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</si>
  <si>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</si>
  <si>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</si>
  <si>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</si>
  <si>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</si>
  <si>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</si>
  <si>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</si>
  <si>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</si>
  <si>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</si>
  <si>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</si>
  <si>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</si>
  <si>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</si>
  <si>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</si>
  <si>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</si>
  <si>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</si>
  <si>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</si>
  <si>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</si>
  <si>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</si>
  <si>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</si>
  <si>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</si>
  <si>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</si>
  <si>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</si>
  <si>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</si>
  <si>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</si>
  <si>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</si>
  <si>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</si>
  <si>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</si>
  <si>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</si>
  <si>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</si>
  <si>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</si>
  <si>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</si>
  <si>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</si>
  <si>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</si>
  <si>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</si>
  <si>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</si>
  <si>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</si>
  <si>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</si>
  <si>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</si>
  <si>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</si>
  <si>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</si>
  <si>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</si>
  <si>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</si>
  <si>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</si>
  <si>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</si>
  <si>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</si>
  <si>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</si>
  <si>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</si>
  <si>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</si>
  <si>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</si>
  <si>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</si>
  <si>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</si>
  <si>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</si>
  <si>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</si>
  <si>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</si>
  <si>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</si>
  <si>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</si>
  <si>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</si>
  <si>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</si>
  <si>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</si>
  <si>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</si>
  <si>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</si>
  <si>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</si>
  <si>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</si>
  <si>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</si>
  <si>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</si>
  <si>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</si>
  <si>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</si>
  <si>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</si>
  <si>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</si>
  <si>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</si>
  <si>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</si>
  <si>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</si>
  <si>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</si>
  <si>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</si>
  <si>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</si>
  <si>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</si>
  <si>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</si>
  <si>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</si>
  <si>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</si>
  <si>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</si>
  <si>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</si>
  <si>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</si>
  <si>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</si>
  <si>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</si>
  <si>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</si>
  <si>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</si>
  <si>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</si>
  <si>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</si>
  <si>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</si>
  <si>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</si>
  <si>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</si>
  <si>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</si>
  <si>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</si>
  <si>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</si>
  <si>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</si>
  <si>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</si>
  <si>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</si>
  <si>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</si>
  <si>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</si>
  <si>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</si>
  <si>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</si>
  <si>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</si>
  <si>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</si>
  <si>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</si>
  <si>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</si>
  <si>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</si>
  <si>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</si>
  <si>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</si>
  <si>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</si>
  <si>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</si>
  <si>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</si>
  <si>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</si>
  <si>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t>
    </r>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</si>
  <si>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</si>
  <si>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</si>
  <si>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</si>
  <si>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</si>
  <si>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</si>
  <si>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</si>
  <si>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</si>
  <si>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</si>
  <si>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</si>
  <si>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</si>
  <si>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</si>
  <si>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</si>
  <si>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</si>
  <si>
    <t>WACC(加权平均资本成本)</t>
    <phoneticPr fontId="2" type="noConversion"/>
  </si>
  <si>
    <t>CAPM（资产定价模型)</t>
    <phoneticPr fontId="2" type="noConversion"/>
  </si>
  <si>
    <t>长期国债</t>
    <phoneticPr fontId="2" type="noConversion"/>
  </si>
  <si>
    <t xml:space="preserve">参照标准，资本市场上其他参与者为风险类似的
企业融资项目会给投资者多少股权回报，以
吸引股权投资
例如，高风险投资项目股权成本，可以咨询类似企业给
风险投资开出的回报条件。风险较低的企业，可将二次
发行股票的蓝筹企业作为参照
</t>
    <phoneticPr fontId="2" type="noConversion"/>
  </si>
  <si>
    <t>风险溢价乘以beta</t>
    <phoneticPr fontId="2" type="noConversion"/>
  </si>
  <si>
    <t>折现率</t>
    <phoneticPr fontId="2" type="noConversion"/>
  </si>
  <si>
    <t>参照盈余估值</t>
    <phoneticPr fontId="2" type="noConversion"/>
  </si>
  <si>
    <t>折现率</t>
    <phoneticPr fontId="2" type="noConversion"/>
  </si>
  <si>
    <t>宁波精达</t>
    <phoneticPr fontId="2" type="noConversion"/>
  </si>
  <si>
    <t>估值</t>
    <phoneticPr fontId="2" type="noConversion"/>
  </si>
  <si>
    <t>永安药业</t>
    <phoneticPr fontId="2" type="noConversion"/>
  </si>
  <si>
    <t>济川药业</t>
    <phoneticPr fontId="2" type="noConversion"/>
  </si>
  <si>
    <t>流动资产
流动资产减所有负债和优先级高于该证券的权益</t>
    <phoneticPr fontId="2" type="noConversion"/>
  </si>
  <si>
    <t>成长估值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</si>
</sst>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2"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0">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9" fillId="0" borderId="0" xfId="0" applyFont="1"/>
    <xf numFmtId="0" fontId="10" fillId="0" borderId="0" xfId="0" applyFont="1"/>
    <xf numFmtId="0" fontId="9" fillId="0" borderId="0" xfId="0" applyFont="1" applyAlignment="1">
      <alignment wrapText="1"/>
    </xf>
    <xf numFmtId="0" fontId="0" fillId="0" borderId="0" xfId="0" applyAlignment="1">
      <alignment horizontal="center"/>
    </xf>
    <xf numFmtId="0" fontId="0" fillId="0" borderId="0" xfId="0" applyAlignment="1">
      <alignment horizontal="center"/>
    </xf>
    <xf numFmtId="0" fontId="8" fillId="0" borderId="0" xfId="0" applyFont="1" applyAlignment="1">
      <alignment wrapText="1"/>
    </xf>
    <xf numFmtId="0" fontId="8"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center"/>
    </xf>
    <xf numFmtId="0" fontId="8" fillId="0" borderId="0" xfId="0" applyFont="1" applyAlignment="1">
      <alignment horizontal="center" wrapText="1"/>
    </xf>
    <xf numFmtId="0" fontId="0" fillId="0" borderId="0" xfId="0" applyAlignment="1">
      <alignment horizontal="center"/>
    </xf>
    <xf numFmtId="0" fontId="10" fillId="0" borderId="0" xfId="0" applyFont="1" applyAlignment="1">
      <alignment horizontal="center"/>
    </xf>
    <xf numFmtId="0" fontId="0" fillId="0" borderId="0" xfId="0" applyAlignment="1">
      <alignment horizontal="center" vertical="center"/>
    </xf>
    <xf numFmtId="0" fontId="0" fillId="0" borderId="0" xfId="0" quotePrefix="1" applyAlignment="1">
      <alignmen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34981688"/>
        <c:axId val="234984120"/>
      </c:lineChart>
      <c:catAx>
        <c:axId val="2349816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34984120"/>
        <c:crosses val="autoZero"/>
        <c:auto val="1"/>
        <c:lblAlgn val="ctr"/>
        <c:lblOffset val="100"/>
        <c:noMultiLvlLbl val="0"/>
      </c:catAx>
      <c:valAx>
        <c:axId val="234984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349816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43089120"/>
        <c:axId val="143516328"/>
      </c:lineChart>
      <c:catAx>
        <c:axId val="1430891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3516328"/>
        <c:crosses val="autoZero"/>
        <c:auto val="1"/>
        <c:lblAlgn val="ctr"/>
        <c:lblOffset val="100"/>
        <c:noMultiLvlLbl val="0"/>
      </c:catAx>
      <c:valAx>
        <c:axId val="1435163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30891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36130;&#21153;&#25351;&#26631;.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A16" sqref="A16:XFD16"/>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zoomScaleNormal="100" workbookViewId="0">
      <selection activeCell="A17" sqref="A17:K17"/>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6" max="16" width="15.25" customWidth="1"/>
    <col min="17" max="17" width="15.5" customWidth="1"/>
    <col min="18" max="18" width="24.125" customWidth="1"/>
    <col min="19" max="19" width="22.625" customWidth="1"/>
    <col min="20" max="20" width="24.5" customWidth="1"/>
    <col min="21" max="21" width="26.625" customWidth="1"/>
    <col min="22" max="23" width="21" customWidth="1"/>
  </cols>
  <sheetData>
    <row r="1" spans="1:25" ht="13.5" customHeight="1" x14ac:dyDescent="0.15">
      <c r="B1" s="72" t="s">
        <v>199</v>
      </c>
      <c r="C1" s="72"/>
      <c r="D1" s="72"/>
      <c r="E1" s="73" t="s">
        <v>83</v>
      </c>
      <c r="F1" s="73"/>
      <c r="G1" s="73"/>
      <c r="H1" s="73"/>
      <c r="I1" s="73"/>
      <c r="J1" s="73" t="s">
        <v>82</v>
      </c>
      <c r="K1" s="73"/>
      <c r="L1" s="73"/>
      <c r="M1" s="73"/>
      <c r="N1" s="73"/>
      <c r="O1" s="73"/>
      <c r="P1" s="73" t="s">
        <v>208</v>
      </c>
      <c r="Q1" s="73"/>
      <c r="R1" s="73"/>
      <c r="S1" s="73" t="s">
        <v>209</v>
      </c>
      <c r="T1" s="73"/>
      <c r="U1" s="73"/>
      <c r="V1" s="73" t="s">
        <v>193</v>
      </c>
      <c r="W1" s="73"/>
    </row>
    <row r="2" spans="1:25" ht="120" customHeight="1" x14ac:dyDescent="0.15">
      <c r="A2" s="1" t="s">
        <v>79</v>
      </c>
      <c r="B2" s="30" t="s">
        <v>200</v>
      </c>
      <c r="C2" s="42" t="s">
        <v>425</v>
      </c>
      <c r="D2" s="42" t="s">
        <v>194</v>
      </c>
      <c r="E2" s="1" t="s">
        <v>80</v>
      </c>
      <c r="F2" s="73" t="s">
        <v>344</v>
      </c>
      <c r="G2" s="73"/>
      <c r="H2" s="73"/>
      <c r="I2" s="1" t="s">
        <v>81</v>
      </c>
      <c r="J2" s="42" t="s">
        <v>222</v>
      </c>
      <c r="K2" s="42" t="s">
        <v>221</v>
      </c>
      <c r="L2" s="1" t="s">
        <v>84</v>
      </c>
      <c r="M2" s="41" t="s">
        <v>85</v>
      </c>
      <c r="N2" s="1" t="s">
        <v>86</v>
      </c>
      <c r="O2" s="1" t="s">
        <v>87</v>
      </c>
      <c r="P2" s="1" t="s">
        <v>98</v>
      </c>
      <c r="Q2" s="1" t="s">
        <v>97</v>
      </c>
      <c r="R2" s="42" t="s">
        <v>210</v>
      </c>
      <c r="S2" s="1" t="s">
        <v>99</v>
      </c>
      <c r="T2" s="1" t="s">
        <v>100</v>
      </c>
      <c r="U2" s="42" t="s">
        <v>213</v>
      </c>
      <c r="V2" s="42" t="s">
        <v>202</v>
      </c>
      <c r="W2" s="1"/>
      <c r="X2" s="1"/>
      <c r="Y2" s="1"/>
    </row>
    <row r="3" spans="1:25" ht="81" customHeight="1" x14ac:dyDescent="0.15">
      <c r="B3" s="30" t="s">
        <v>204</v>
      </c>
      <c r="C3" s="72" t="s">
        <v>201</v>
      </c>
      <c r="D3" s="72"/>
      <c r="F3" s="42" t="s">
        <v>400</v>
      </c>
      <c r="G3" s="42" t="s">
        <v>412</v>
      </c>
      <c r="H3" s="42" t="s">
        <v>426</v>
      </c>
      <c r="K3" s="72" t="s">
        <v>203</v>
      </c>
      <c r="L3" s="72"/>
      <c r="M3" s="72"/>
      <c r="N3" s="72"/>
      <c r="O3" s="72"/>
      <c r="P3" s="72" t="s">
        <v>211</v>
      </c>
      <c r="Q3" s="73"/>
      <c r="R3" s="73"/>
      <c r="V3" s="5"/>
      <c r="W3" s="5"/>
      <c r="X3" s="5"/>
      <c r="Y3" s="5"/>
    </row>
    <row r="4" spans="1:25" x14ac:dyDescent="0.15">
      <c r="A4" t="s">
        <v>96</v>
      </c>
      <c r="B4" s="33">
        <v>9.31</v>
      </c>
      <c r="C4" s="7">
        <f>(36-14)/3.7</f>
        <v>5.9459459459459456</v>
      </c>
      <c r="D4">
        <v>6.25</v>
      </c>
    </row>
    <row r="5" spans="1:25" s="17" customFormat="1" ht="12.75" customHeight="1" x14ac:dyDescent="0.15">
      <c r="A5" s="17" t="s">
        <v>205</v>
      </c>
      <c r="B5" s="32">
        <f>(12.3-0.76)/2.43</f>
        <v>4.7489711934156382</v>
      </c>
      <c r="C5" s="20">
        <f>(33.29-24.4)/2.43</f>
        <v>3.6584362139917697</v>
      </c>
      <c r="J5" s="18">
        <v>1.17E-2</v>
      </c>
      <c r="K5" s="18"/>
      <c r="O5" s="32">
        <f>208/17</f>
        <v>12.235294117647058</v>
      </c>
      <c r="P5" s="20">
        <f>33.29/23.89</f>
        <v>1.393470071159481</v>
      </c>
      <c r="Q5" s="20">
        <f>(33.28-4.05)/23.89</f>
        <v>1.2235244872331519</v>
      </c>
      <c r="R5" s="17" t="s">
        <v>214</v>
      </c>
      <c r="S5" s="45" t="s">
        <v>215</v>
      </c>
      <c r="T5" s="45" t="s">
        <v>215</v>
      </c>
      <c r="U5" s="45" t="s">
        <v>215</v>
      </c>
    </row>
    <row r="6" spans="1:25" x14ac:dyDescent="0.15">
      <c r="A6" t="s">
        <v>206</v>
      </c>
      <c r="B6" s="33">
        <f>(64.19-8.12-1.98)/10.75</f>
        <v>5.0316279069767447</v>
      </c>
      <c r="C6" s="7">
        <f>(38.43-16.02)/10.75</f>
        <v>2.0846511627906978</v>
      </c>
      <c r="J6" s="5">
        <v>6.3E-3</v>
      </c>
      <c r="K6" s="5"/>
      <c r="O6" s="33">
        <f>736/17</f>
        <v>43.294117647058826</v>
      </c>
    </row>
    <row r="7" spans="1:25" s="17" customFormat="1" x14ac:dyDescent="0.15">
      <c r="A7" s="17" t="s">
        <v>207</v>
      </c>
      <c r="B7" s="32">
        <f>(39.49-7.59)/11.61</f>
        <v>2.7476313522825153</v>
      </c>
      <c r="C7" s="20">
        <f>(28.47-3.13)/11.61</f>
        <v>2.1826012058570199</v>
      </c>
      <c r="J7" s="18">
        <v>1.6999999999999999E-3</v>
      </c>
      <c r="K7" s="18"/>
      <c r="O7" s="32">
        <f>557/15</f>
        <v>37.133333333333333</v>
      </c>
      <c r="P7" s="20">
        <f>248655/31297</f>
        <v>7.9450107039013327</v>
      </c>
      <c r="Q7" s="20">
        <f>(248655-10356)/31297</f>
        <v>7.6141163689810529</v>
      </c>
    </row>
    <row r="8" spans="1:25" x14ac:dyDescent="0.15">
      <c r="A8" t="s">
        <v>212</v>
      </c>
      <c r="B8" s="33">
        <f>(30.56-2.27)/22.78</f>
        <v>1.2418788410886741</v>
      </c>
      <c r="C8" s="7">
        <f>(41.16-16.75)/22.78</f>
        <v>1.071553994732221</v>
      </c>
      <c r="O8" s="33"/>
    </row>
    <row r="9" spans="1:25" s="17" customFormat="1" x14ac:dyDescent="0.15">
      <c r="A9" s="17" t="s">
        <v>216</v>
      </c>
      <c r="B9" s="32">
        <f>(51122-7348)/11200</f>
        <v>3.9083928571428572</v>
      </c>
      <c r="E9" s="17">
        <v>0.34</v>
      </c>
      <c r="F9" s="20">
        <f>NPV(5%,0.39,0.39,0.39,0.39,0.39)/1.1</f>
        <v>1.5349962741327448</v>
      </c>
      <c r="G9" s="20">
        <f>5.57/1.1</f>
        <v>5.0636363636363635</v>
      </c>
      <c r="H9" s="20"/>
      <c r="J9" s="18">
        <v>7.3000000000000001E-3</v>
      </c>
      <c r="K9" s="18"/>
      <c r="O9" s="32">
        <f>304/18</f>
        <v>16.888888888888889</v>
      </c>
      <c r="P9" s="20">
        <f>52367/28725</f>
        <v>1.8230461270670149</v>
      </c>
      <c r="Q9" s="20">
        <f>(52367-26519)/28725</f>
        <v>0.89984334203655347</v>
      </c>
    </row>
    <row r="10" spans="1:25" ht="12.75" customHeight="1" x14ac:dyDescent="0.15">
      <c r="A10" t="s">
        <v>220</v>
      </c>
      <c r="B10" s="33">
        <f>(140755-37289-28391)/40362</f>
        <v>1.8600416233090531</v>
      </c>
      <c r="E10">
        <v>0.97</v>
      </c>
      <c r="J10" s="5">
        <v>2.7000000000000001E-3</v>
      </c>
      <c r="K10" s="5">
        <v>0.41399999999999998</v>
      </c>
      <c r="O10" s="33">
        <v>37.799999999999997</v>
      </c>
      <c r="P10" s="7">
        <f>181671/111350</f>
        <v>1.6315312079030084</v>
      </c>
      <c r="Q10" s="7">
        <f>(181671-846)/111350</f>
        <v>1.6239335428828019</v>
      </c>
      <c r="R10" t="s">
        <v>223</v>
      </c>
    </row>
    <row r="11" spans="1:25" s="17" customFormat="1" x14ac:dyDescent="0.15">
      <c r="A11" s="17" t="s">
        <v>272</v>
      </c>
      <c r="B11" s="32">
        <f>(33.63-4.18)/9.08</f>
        <v>3.2433920704845818</v>
      </c>
      <c r="E11" s="17">
        <v>0.2</v>
      </c>
      <c r="J11" s="18">
        <v>5.4199999999999998E-2</v>
      </c>
      <c r="K11" s="18">
        <v>0.66410000000000002</v>
      </c>
      <c r="O11" s="32">
        <f>407/12</f>
        <v>33.916666666666664</v>
      </c>
      <c r="P11" s="20">
        <f>35.64/34.01</f>
        <v>1.0479270802705087</v>
      </c>
      <c r="Q11" s="20">
        <f>(35.64-19.6)/34.01</f>
        <v>0.47162599235518965</v>
      </c>
    </row>
    <row r="12" spans="1:25" x14ac:dyDescent="0.15">
      <c r="A12" t="s">
        <v>273</v>
      </c>
      <c r="B12" s="33">
        <f>(113.17-4.6)/11.687</f>
        <v>9.2898091896979569</v>
      </c>
      <c r="E12">
        <v>0.64</v>
      </c>
      <c r="J12" s="18">
        <v>1.26E-2</v>
      </c>
      <c r="K12" s="5">
        <v>0.49509999999999998</v>
      </c>
      <c r="O12" s="33">
        <f>936/32</f>
        <v>29.25</v>
      </c>
      <c r="P12" s="7">
        <f>246.35/174.58</f>
        <v>1.4111009279413449</v>
      </c>
      <c r="Q12" s="7">
        <f>(246.35-104.48)/174.58</f>
        <v>0.81263604078359486</v>
      </c>
    </row>
    <row r="13" spans="1:25" s="17" customFormat="1" x14ac:dyDescent="0.15">
      <c r="A13" s="17" t="s">
        <v>285</v>
      </c>
      <c r="B13" s="32">
        <f>(15.54-0.89)/2.95</f>
        <v>4.9661016949152534</v>
      </c>
      <c r="E13" s="17">
        <v>0.23</v>
      </c>
      <c r="F13" s="20">
        <f>NPV(5%,1.8,1.8,1.8,1.8,1.8)/2.95</f>
        <v>2.6417145786899914</v>
      </c>
      <c r="G13" s="20">
        <f>NPV(7%,2.13*1.1,2.13*1.1^2,2.13*1.1^3,2.13*1.1^4,2.13*1.1^5)/2.95</f>
        <v>3.925421744735921</v>
      </c>
      <c r="H13" s="20"/>
      <c r="J13" s="18">
        <v>3.7000000000000002E-3</v>
      </c>
      <c r="K13" s="18">
        <v>0.14749999999999999</v>
      </c>
      <c r="O13" s="32">
        <f>1389/17</f>
        <v>81.705882352941174</v>
      </c>
      <c r="P13" s="20">
        <f>7.37/2.66</f>
        <v>2.7706766917293231</v>
      </c>
      <c r="Q13" s="20">
        <f>(7.37-0.85)/2.66</f>
        <v>2.4511278195488724</v>
      </c>
    </row>
    <row r="14" spans="1:25" x14ac:dyDescent="0.15">
      <c r="A14" t="s">
        <v>291</v>
      </c>
      <c r="B14" s="7">
        <f>(22.44-0.39)/3.13</f>
        <v>7.0447284345047931</v>
      </c>
      <c r="J14" s="5">
        <v>2.0899999999999998E-2</v>
      </c>
      <c r="K14" s="5">
        <v>0.42470000000000002</v>
      </c>
      <c r="O14">
        <f>711/12</f>
        <v>59.25</v>
      </c>
      <c r="P14" s="7">
        <f>18.06/2.39</f>
        <v>7.556485355648535</v>
      </c>
      <c r="Q14" s="7">
        <f>(18.06-1.07)/2.39</f>
        <v>7.1087866108786599</v>
      </c>
    </row>
    <row r="15" spans="1:25" x14ac:dyDescent="0.15">
      <c r="A15" s="17" t="s">
        <v>343</v>
      </c>
      <c r="B15" s="33">
        <f>(197.69-21.02)/40.78</f>
        <v>4.3322707209416373</v>
      </c>
      <c r="E15" s="7"/>
      <c r="F15" s="7"/>
      <c r="J15" s="5">
        <v>1.1599999999999999E-2</v>
      </c>
      <c r="K15" s="5">
        <v>0.32219999999999999</v>
      </c>
      <c r="L15" s="5">
        <v>6.0000000000000001E-3</v>
      </c>
      <c r="O15">
        <f>975/20</f>
        <v>48.75</v>
      </c>
      <c r="P15" s="7">
        <f>115/16</f>
        <v>7.1875</v>
      </c>
      <c r="Q15" s="7">
        <f>(115-18)/16</f>
        <v>6.0625</v>
      </c>
    </row>
    <row r="16" spans="1:25" x14ac:dyDescent="0.15">
      <c r="A16" t="s">
        <v>424</v>
      </c>
      <c r="B16" s="33">
        <f>84.79/8.1481</f>
        <v>10.406106945177404</v>
      </c>
      <c r="E16" s="61"/>
      <c r="F16" s="61"/>
      <c r="G16">
        <f>16.16/(0.018*0.33+0.03289*0.67)</f>
        <v>577.63178118621829</v>
      </c>
      <c r="H16">
        <f>16.16*(8.5+2*10)</f>
        <v>460.56</v>
      </c>
      <c r="J16" s="5">
        <v>1.8499999999999999E-2</v>
      </c>
      <c r="K16" s="5">
        <v>0.66180000000000005</v>
      </c>
      <c r="O16" s="7">
        <f>1139/15</f>
        <v>75.933333333333337</v>
      </c>
      <c r="P16" s="7">
        <f>42.89/18.45</f>
        <v>2.3246612466124663</v>
      </c>
      <c r="Q16" s="7">
        <f>(42.89-2.37)/18.44</f>
        <v>2.1973969631236443</v>
      </c>
    </row>
    <row r="17" spans="5:7" x14ac:dyDescent="0.15">
      <c r="E17" s="7"/>
      <c r="F17" s="7"/>
    </row>
    <row r="18" spans="5:7" x14ac:dyDescent="0.15">
      <c r="E18" s="7"/>
      <c r="F18" s="7"/>
    </row>
    <row r="19" spans="5:7" x14ac:dyDescent="0.15">
      <c r="E19" s="7"/>
      <c r="F19" s="7"/>
    </row>
    <row r="20" spans="5:7" x14ac:dyDescent="0.15">
      <c r="E20" s="7"/>
      <c r="F20" s="7"/>
    </row>
    <row r="22" spans="5:7" x14ac:dyDescent="0.15">
      <c r="G22" t="s">
        <v>91</v>
      </c>
    </row>
  </sheetData>
  <mergeCells count="10">
    <mergeCell ref="B1:D1"/>
    <mergeCell ref="C3:D3"/>
    <mergeCell ref="V1:W1"/>
    <mergeCell ref="P1:R1"/>
    <mergeCell ref="S1:U1"/>
    <mergeCell ref="E1:I1"/>
    <mergeCell ref="K3:O3"/>
    <mergeCell ref="P3:R3"/>
    <mergeCell ref="J1:O1"/>
    <mergeCell ref="F2:H2"/>
  </mergeCells>
  <phoneticPr fontId="2" type="noConversion"/>
  <hyperlinks>
    <hyperlink ref="S5" r:id="rId1"/>
    <hyperlink ref="T5" r:id="rId2"/>
    <hyperlink ref="U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
  <sheetViews>
    <sheetView workbookViewId="0">
      <selection activeCell="C14" sqref="C14"/>
    </sheetView>
  </sheetViews>
  <sheetFormatPr defaultRowHeight="13.5" x14ac:dyDescent="0.15"/>
  <cols>
    <col min="2" max="2" width="19.125" customWidth="1"/>
    <col min="8" max="8" width="24.25" customWidth="1"/>
    <col min="9" max="9" width="26.125" customWidth="1"/>
    <col min="12" max="12" width="11" customWidth="1"/>
    <col min="15" max="15" width="16" customWidth="1"/>
    <col min="16" max="16" width="22.5" customWidth="1"/>
    <col min="18" max="18" width="37.625" customWidth="1"/>
    <col min="19" max="19" width="7.75" customWidth="1"/>
    <col min="21" max="21" width="18.875" customWidth="1"/>
    <col min="22" max="22" width="7.625" customWidth="1"/>
    <col min="24" max="24" width="20.125" customWidth="1"/>
    <col min="25" max="25" width="17.375" customWidth="1"/>
    <col min="26" max="26" width="15.5" customWidth="1"/>
    <col min="27" max="27" width="21.5" customWidth="1"/>
    <col min="30" max="30" width="11.125" customWidth="1"/>
    <col min="31" max="31" width="15.625" customWidth="1"/>
  </cols>
  <sheetData>
    <row r="1" spans="1:31" ht="97.5" customHeight="1" x14ac:dyDescent="0.25">
      <c r="B1" s="75" t="s">
        <v>374</v>
      </c>
      <c r="C1" s="75"/>
      <c r="D1" s="75"/>
      <c r="E1" s="75"/>
      <c r="F1" s="75"/>
      <c r="G1" s="75"/>
      <c r="H1" s="75"/>
      <c r="I1" s="75"/>
      <c r="J1" s="75"/>
      <c r="K1" s="75"/>
      <c r="L1" s="75"/>
      <c r="M1" s="75"/>
      <c r="N1" s="75"/>
      <c r="O1" s="75"/>
      <c r="P1" s="75" t="s">
        <v>395</v>
      </c>
      <c r="Q1" s="75"/>
      <c r="R1" s="75"/>
      <c r="S1" s="75"/>
      <c r="T1" s="75"/>
      <c r="U1" s="75"/>
      <c r="V1" s="75"/>
      <c r="W1" s="75"/>
      <c r="X1" s="70" t="s">
        <v>399</v>
      </c>
      <c r="Y1" s="74" t="s">
        <v>400</v>
      </c>
      <c r="Z1" s="74"/>
      <c r="AA1" s="74"/>
      <c r="AB1" s="74"/>
      <c r="AC1" s="74"/>
      <c r="AD1" s="74"/>
      <c r="AE1" s="74"/>
    </row>
    <row r="2" spans="1:31" ht="12.75" customHeight="1" x14ac:dyDescent="0.15">
      <c r="B2" s="75" t="s">
        <v>379</v>
      </c>
      <c r="C2" s="75"/>
      <c r="D2" s="75"/>
      <c r="E2" s="75"/>
      <c r="F2" t="s">
        <v>383</v>
      </c>
      <c r="G2" t="s">
        <v>382</v>
      </c>
      <c r="H2" s="76" t="s">
        <v>384</v>
      </c>
      <c r="I2" s="76"/>
      <c r="J2" s="76"/>
      <c r="K2" s="76"/>
      <c r="L2" s="76"/>
      <c r="M2" s="76"/>
      <c r="N2" s="76"/>
      <c r="O2" t="s">
        <v>388</v>
      </c>
      <c r="Q2" t="s">
        <v>415</v>
      </c>
      <c r="R2" s="47" t="s">
        <v>416</v>
      </c>
      <c r="S2" s="47"/>
      <c r="T2" t="s">
        <v>415</v>
      </c>
      <c r="U2" t="s">
        <v>417</v>
      </c>
      <c r="Y2" s="76" t="s">
        <v>401</v>
      </c>
      <c r="Z2" s="76"/>
      <c r="AA2" s="68"/>
      <c r="AB2" s="76" t="s">
        <v>406</v>
      </c>
      <c r="AC2" s="76"/>
      <c r="AD2" s="76"/>
      <c r="AE2" s="69" t="s">
        <v>418</v>
      </c>
    </row>
    <row r="3" spans="1:31" ht="12.75" customHeight="1" x14ac:dyDescent="0.15">
      <c r="B3" s="71"/>
      <c r="C3" s="71"/>
      <c r="D3" s="71"/>
      <c r="E3" s="71"/>
      <c r="H3" s="64" t="s">
        <v>393</v>
      </c>
      <c r="I3" s="64" t="s">
        <v>394</v>
      </c>
      <c r="J3" s="68"/>
      <c r="K3" s="68"/>
      <c r="L3" s="68"/>
      <c r="M3" s="68"/>
      <c r="N3" s="68"/>
      <c r="Q3" s="76" t="s">
        <v>413</v>
      </c>
      <c r="R3" s="76"/>
      <c r="S3" s="69"/>
      <c r="T3" s="76" t="s">
        <v>414</v>
      </c>
      <c r="U3" s="76"/>
      <c r="V3" s="69"/>
      <c r="Y3" t="s">
        <v>404</v>
      </c>
      <c r="Z3" t="s">
        <v>405</v>
      </c>
      <c r="AA3" s="47" t="s">
        <v>411</v>
      </c>
      <c r="AE3" t="s">
        <v>419</v>
      </c>
    </row>
    <row r="4" spans="1:31" x14ac:dyDescent="0.15">
      <c r="B4" t="s">
        <v>375</v>
      </c>
      <c r="C4" t="s">
        <v>376</v>
      </c>
      <c r="D4" t="s">
        <v>377</v>
      </c>
      <c r="E4" t="s">
        <v>378</v>
      </c>
      <c r="F4" t="s">
        <v>380</v>
      </c>
      <c r="G4" t="s">
        <v>381</v>
      </c>
      <c r="H4" t="s">
        <v>385</v>
      </c>
      <c r="I4" t="s">
        <v>386</v>
      </c>
      <c r="J4" t="s">
        <v>295</v>
      </c>
      <c r="K4" t="s">
        <v>389</v>
      </c>
      <c r="L4" t="s">
        <v>390</v>
      </c>
      <c r="M4" t="s">
        <v>392</v>
      </c>
      <c r="N4" t="s">
        <v>391</v>
      </c>
      <c r="O4" t="s">
        <v>387</v>
      </c>
      <c r="P4" t="s">
        <v>396</v>
      </c>
      <c r="Q4" t="s">
        <v>397</v>
      </c>
      <c r="R4" t="s">
        <v>398</v>
      </c>
      <c r="S4" s="47" t="s">
        <v>420</v>
      </c>
      <c r="T4" t="s">
        <v>397</v>
      </c>
      <c r="U4" t="s">
        <v>398</v>
      </c>
      <c r="V4" t="s">
        <v>420</v>
      </c>
      <c r="W4" t="s">
        <v>422</v>
      </c>
      <c r="Y4" t="s">
        <v>402</v>
      </c>
      <c r="Z4" t="s">
        <v>403</v>
      </c>
      <c r="AA4" t="s">
        <v>410</v>
      </c>
      <c r="AB4" t="s">
        <v>407</v>
      </c>
      <c r="AC4" t="s">
        <v>408</v>
      </c>
      <c r="AD4" t="s">
        <v>409</v>
      </c>
    </row>
    <row r="5" spans="1:31" x14ac:dyDescent="0.15">
      <c r="A5" t="s">
        <v>421</v>
      </c>
      <c r="P5">
        <v>0.39</v>
      </c>
      <c r="Q5" s="5">
        <v>3.7249999999999998E-2</v>
      </c>
      <c r="R5" s="21">
        <f>0.1+0.02</f>
        <v>0.12000000000000001</v>
      </c>
      <c r="S5" s="5">
        <f>Q5*0.37+R5*0.63</f>
        <v>8.9382500000000004E-2</v>
      </c>
      <c r="W5" s="7">
        <f>P5/S5</f>
        <v>4.3632702150868461</v>
      </c>
    </row>
    <row r="6" spans="1:31" x14ac:dyDescent="0.15">
      <c r="A6" t="s">
        <v>423</v>
      </c>
      <c r="P6" s="7">
        <f>1.96+0.653-0.1239+0.0779+0.045</f>
        <v>2.6120000000000001</v>
      </c>
      <c r="Q6" s="5">
        <v>3.7249999999999998E-2</v>
      </c>
      <c r="R6" s="21">
        <f>(5%+8%)/2</f>
        <v>6.5000000000000002E-2</v>
      </c>
      <c r="S6" s="5">
        <f>Q6*0.15+R6*0.85</f>
        <v>6.0837500000000003E-2</v>
      </c>
      <c r="W6" s="7">
        <f>P6/S6</f>
        <v>42.934045613314154</v>
      </c>
      <c r="Z6">
        <v>1.97</v>
      </c>
    </row>
  </sheetData>
  <mergeCells count="9">
    <mergeCell ref="Y1:AE1"/>
    <mergeCell ref="P1:W1"/>
    <mergeCell ref="Q3:R3"/>
    <mergeCell ref="T3:U3"/>
    <mergeCell ref="B2:E2"/>
    <mergeCell ref="H2:N2"/>
    <mergeCell ref="B1:O1"/>
    <mergeCell ref="AB2:AD2"/>
    <mergeCell ref="Y2:Z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3" t="s">
        <v>89</v>
      </c>
      <c r="C1" s="73"/>
      <c r="D1" s="73"/>
      <c r="E1" s="73"/>
      <c r="F1" s="73" t="s">
        <v>92</v>
      </c>
      <c r="G1" s="73"/>
      <c r="H1" s="73"/>
      <c r="I1" s="73" t="s">
        <v>95</v>
      </c>
      <c r="J1" s="73"/>
      <c r="K1" s="73"/>
    </row>
    <row r="2" spans="1:12" ht="13.5" customHeight="1" x14ac:dyDescent="0.15">
      <c r="A2" s="1" t="s">
        <v>79</v>
      </c>
      <c r="B2" s="42" t="s">
        <v>90</v>
      </c>
      <c r="C2" s="42" t="s">
        <v>192</v>
      </c>
      <c r="D2" s="42" t="s">
        <v>292</v>
      </c>
      <c r="E2" s="42" t="s">
        <v>280</v>
      </c>
      <c r="F2" s="42" t="s">
        <v>334</v>
      </c>
      <c r="G2" s="42" t="s">
        <v>93</v>
      </c>
      <c r="H2" s="42" t="s">
        <v>94</v>
      </c>
      <c r="I2" s="42" t="s">
        <v>114</v>
      </c>
      <c r="J2" s="72" t="s">
        <v>115</v>
      </c>
      <c r="K2" s="72"/>
      <c r="L2" s="42" t="s">
        <v>116</v>
      </c>
    </row>
    <row r="3" spans="1:12" ht="13.5" customHeight="1" x14ac:dyDescent="0.15">
      <c r="A3" s="1"/>
      <c r="B3" s="42"/>
      <c r="C3" s="42"/>
      <c r="D3" s="42"/>
      <c r="E3" s="42"/>
      <c r="F3" s="42"/>
      <c r="G3" s="42"/>
      <c r="H3" s="42"/>
      <c r="I3" s="42"/>
      <c r="J3" s="55" t="s">
        <v>283</v>
      </c>
      <c r="K3" s="60" t="s">
        <v>284</v>
      </c>
    </row>
    <row r="4" spans="1:12" ht="107.25" customHeight="1" x14ac:dyDescent="0.15">
      <c r="A4" t="s">
        <v>279</v>
      </c>
      <c r="B4">
        <v>237</v>
      </c>
      <c r="C4">
        <v>0</v>
      </c>
      <c r="D4">
        <v>132</v>
      </c>
      <c r="E4">
        <v>0</v>
      </c>
      <c r="F4">
        <v>2912</v>
      </c>
      <c r="H4" s="47" t="s">
        <v>281</v>
      </c>
      <c r="I4" s="47" t="s">
        <v>282</v>
      </c>
      <c r="J4" s="5">
        <v>0.36759999999999998</v>
      </c>
    </row>
    <row r="5" spans="1:12" x14ac:dyDescent="0.15">
      <c r="A5" t="s">
        <v>77</v>
      </c>
      <c r="B5">
        <f>27805-27085</f>
        <v>720</v>
      </c>
      <c r="C5">
        <v>0</v>
      </c>
    </row>
    <row r="6" spans="1:12" ht="96.75" customHeight="1" x14ac:dyDescent="0.15">
      <c r="A6" t="s">
        <v>333</v>
      </c>
      <c r="B6">
        <v>746</v>
      </c>
      <c r="C6">
        <v>0</v>
      </c>
      <c r="D6">
        <v>7579</v>
      </c>
      <c r="E6">
        <v>0</v>
      </c>
      <c r="F6">
        <v>5719</v>
      </c>
      <c r="H6" s="47" t="s">
        <v>335</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workbookViewId="0">
      <selection activeCell="C4" sqref="C4"/>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218</v>
      </c>
      <c r="B1" s="46" t="s">
        <v>217</v>
      </c>
      <c r="C1" s="48" t="s">
        <v>252</v>
      </c>
      <c r="D1" s="72" t="s">
        <v>226</v>
      </c>
      <c r="E1" s="72"/>
      <c r="F1" s="72"/>
      <c r="G1" s="72"/>
      <c r="H1" s="72"/>
      <c r="I1" s="72"/>
      <c r="J1" s="72" t="s">
        <v>233</v>
      </c>
      <c r="K1" s="72"/>
      <c r="L1" s="72"/>
      <c r="M1" s="72" t="s">
        <v>235</v>
      </c>
      <c r="N1" s="72"/>
      <c r="O1" s="49" t="s">
        <v>238</v>
      </c>
      <c r="P1" s="72" t="s">
        <v>240</v>
      </c>
      <c r="Q1" s="72"/>
      <c r="R1" s="49" t="s">
        <v>243</v>
      </c>
      <c r="S1" s="49" t="s">
        <v>245</v>
      </c>
      <c r="T1" s="51" t="s">
        <v>260</v>
      </c>
      <c r="U1" s="51" t="s">
        <v>271</v>
      </c>
      <c r="V1" s="51" t="s">
        <v>263</v>
      </c>
      <c r="W1" s="51" t="s">
        <v>265</v>
      </c>
      <c r="X1" s="51" t="s">
        <v>267</v>
      </c>
      <c r="Y1" s="54" t="s">
        <v>269</v>
      </c>
    </row>
    <row r="2" spans="1:25" ht="13.5" customHeight="1" x14ac:dyDescent="0.15">
      <c r="B2" t="s">
        <v>219</v>
      </c>
      <c r="J2" t="s">
        <v>236</v>
      </c>
    </row>
    <row r="3" spans="1:25" ht="150" customHeight="1" x14ac:dyDescent="0.15">
      <c r="A3" s="57" t="s">
        <v>276</v>
      </c>
      <c r="B3" s="47" t="s">
        <v>224</v>
      </c>
      <c r="C3" s="47" t="s">
        <v>225</v>
      </c>
      <c r="D3" s="47" t="s">
        <v>227</v>
      </c>
      <c r="E3" s="47" t="s">
        <v>228</v>
      </c>
      <c r="F3" s="47" t="s">
        <v>229</v>
      </c>
      <c r="G3" s="47" t="s">
        <v>230</v>
      </c>
      <c r="H3" s="47" t="s">
        <v>231</v>
      </c>
      <c r="I3" s="47" t="s">
        <v>232</v>
      </c>
      <c r="J3" s="47" t="s">
        <v>234</v>
      </c>
      <c r="K3" s="58" t="s">
        <v>258</v>
      </c>
      <c r="L3" s="52" t="s">
        <v>259</v>
      </c>
      <c r="M3" s="59" t="s">
        <v>278</v>
      </c>
      <c r="N3" s="47" t="s">
        <v>237</v>
      </c>
      <c r="O3" s="47" t="s">
        <v>239</v>
      </c>
      <c r="P3" s="47" t="s">
        <v>242</v>
      </c>
      <c r="Q3" s="47" t="s">
        <v>241</v>
      </c>
      <c r="R3" s="47" t="s">
        <v>244</v>
      </c>
      <c r="S3" s="47" t="s">
        <v>246</v>
      </c>
      <c r="T3" s="47" t="s">
        <v>261</v>
      </c>
      <c r="U3" s="47" t="s">
        <v>262</v>
      </c>
      <c r="V3" s="47" t="s">
        <v>264</v>
      </c>
      <c r="W3" s="47" t="s">
        <v>266</v>
      </c>
      <c r="X3" s="47" t="s">
        <v>268</v>
      </c>
      <c r="Y3" s="47" t="s">
        <v>270</v>
      </c>
    </row>
    <row r="4" spans="1:25" ht="126.75" customHeight="1" x14ac:dyDescent="0.15">
      <c r="A4" s="56" t="s">
        <v>274</v>
      </c>
      <c r="B4" s="47" t="s">
        <v>275</v>
      </c>
      <c r="C4" t="s">
        <v>286</v>
      </c>
      <c r="E4">
        <v>3.14</v>
      </c>
      <c r="G4">
        <v>2928</v>
      </c>
      <c r="H4">
        <v>127</v>
      </c>
      <c r="I4" s="47" t="s">
        <v>277</v>
      </c>
      <c r="J4" t="s">
        <v>287</v>
      </c>
      <c r="K4" s="5">
        <f>5484/93277</f>
        <v>5.879262840786046E-2</v>
      </c>
      <c r="L4" s="33">
        <f>59347/(5471+3458)/2</f>
        <v>3.32327248292082</v>
      </c>
      <c r="M4" s="7">
        <f>1.33/9.33</f>
        <v>0.14255091103965703</v>
      </c>
      <c r="O4" s="47" t="s">
        <v>288</v>
      </c>
      <c r="Q4">
        <v>0</v>
      </c>
      <c r="U4" t="s">
        <v>289</v>
      </c>
      <c r="Y4" t="s">
        <v>290</v>
      </c>
    </row>
    <row r="5" spans="1:25" ht="120.75" customHeight="1" x14ac:dyDescent="0.15">
      <c r="A5" s="56" t="s">
        <v>247</v>
      </c>
      <c r="B5" t="s">
        <v>248</v>
      </c>
      <c r="C5" t="s">
        <v>249</v>
      </c>
      <c r="D5" s="47"/>
      <c r="E5" s="7">
        <f>(12.42+17.3+18.81)/3</f>
        <v>16.176666666666666</v>
      </c>
      <c r="G5">
        <f>(14439+14665+11576)/3</f>
        <v>13560</v>
      </c>
      <c r="H5">
        <f>2442-208</f>
        <v>2234</v>
      </c>
      <c r="J5" t="s">
        <v>250</v>
      </c>
      <c r="K5" s="50">
        <f>4645/116233</f>
        <v>3.9962833274543377E-2</v>
      </c>
      <c r="L5" s="53">
        <f>19425/(22255+18429)/2</f>
        <v>0.23873021335168618</v>
      </c>
      <c r="M5" s="7">
        <f>(6814/116232+10687/84790+10923/61546)/3</f>
        <v>0.12071398227118028</v>
      </c>
      <c r="N5">
        <v>3</v>
      </c>
      <c r="O5">
        <v>2</v>
      </c>
      <c r="Q5" t="s">
        <v>251</v>
      </c>
    </row>
    <row r="6" spans="1:25" ht="81" x14ac:dyDescent="0.15">
      <c r="A6" s="56" t="s">
        <v>253</v>
      </c>
      <c r="B6" s="47" t="s">
        <v>254</v>
      </c>
      <c r="C6" s="47" t="s">
        <v>255</v>
      </c>
      <c r="E6">
        <v>4.32</v>
      </c>
      <c r="G6">
        <v>1330</v>
      </c>
      <c r="H6">
        <v>208</v>
      </c>
      <c r="J6" s="47" t="s">
        <v>256</v>
      </c>
      <c r="K6" s="50">
        <f>2618/30796</f>
        <v>8.5011040394856477E-2</v>
      </c>
      <c r="L6" s="53">
        <f>112664/(846+1671)/2</f>
        <v>22.380611839491458</v>
      </c>
      <c r="M6" s="7">
        <f>2618/30796</f>
        <v>8.5011040394856477E-2</v>
      </c>
      <c r="O6" s="47"/>
      <c r="Q6" t="s">
        <v>257</v>
      </c>
      <c r="R6" t="s">
        <v>257</v>
      </c>
    </row>
    <row r="7" spans="1:25" x14ac:dyDescent="0.15">
      <c r="A7" s="79">
        <v>1</v>
      </c>
      <c r="B7" s="47"/>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66" t="s">
        <v>345</v>
      </c>
      <c r="B1" s="66"/>
      <c r="C1" s="66"/>
    </row>
    <row r="2" spans="1:22" ht="14.25" x14ac:dyDescent="0.15">
      <c r="A2" s="77" t="s">
        <v>346</v>
      </c>
      <c r="B2" s="77"/>
      <c r="C2" s="77"/>
    </row>
    <row r="3" spans="1:22" s="1" customFormat="1" x14ac:dyDescent="0.15">
      <c r="A3" s="73" t="s">
        <v>347</v>
      </c>
      <c r="B3" s="73"/>
      <c r="C3" s="73"/>
      <c r="D3" s="73"/>
      <c r="E3" s="73"/>
      <c r="F3" s="73"/>
      <c r="G3" s="73" t="s">
        <v>348</v>
      </c>
      <c r="H3" s="73"/>
      <c r="I3" s="73"/>
      <c r="J3" s="73" t="s">
        <v>349</v>
      </c>
      <c r="K3" s="73"/>
      <c r="L3" s="73"/>
      <c r="M3" s="73"/>
      <c r="N3" s="73"/>
      <c r="O3" s="73"/>
      <c r="P3" s="73"/>
      <c r="Q3" s="73" t="s">
        <v>366</v>
      </c>
      <c r="R3" s="73"/>
      <c r="S3" s="73"/>
      <c r="T3" s="73"/>
      <c r="U3" s="73"/>
      <c r="V3" s="73"/>
    </row>
    <row r="4" spans="1:22" s="65" customFormat="1" ht="36" x14ac:dyDescent="0.15">
      <c r="A4" s="65" t="s">
        <v>350</v>
      </c>
      <c r="B4" s="65" t="s">
        <v>351</v>
      </c>
      <c r="C4" s="65" t="s">
        <v>352</v>
      </c>
      <c r="D4" s="65" t="s">
        <v>353</v>
      </c>
      <c r="E4" s="67" t="s">
        <v>355</v>
      </c>
      <c r="F4" s="67" t="s">
        <v>354</v>
      </c>
      <c r="G4" s="65" t="s">
        <v>356</v>
      </c>
      <c r="H4" s="65" t="s">
        <v>357</v>
      </c>
      <c r="I4" s="65" t="s">
        <v>358</v>
      </c>
      <c r="J4" s="65" t="s">
        <v>360</v>
      </c>
      <c r="K4" s="65" t="s">
        <v>361</v>
      </c>
      <c r="L4" s="67" t="s">
        <v>373</v>
      </c>
      <c r="M4" s="65" t="s">
        <v>362</v>
      </c>
      <c r="N4" s="65" t="s">
        <v>363</v>
      </c>
      <c r="O4" s="65" t="s">
        <v>364</v>
      </c>
      <c r="P4" s="65" t="s">
        <v>365</v>
      </c>
      <c r="Q4" s="65" t="s">
        <v>367</v>
      </c>
      <c r="R4" s="65" t="s">
        <v>368</v>
      </c>
      <c r="S4" s="65" t="s">
        <v>369</v>
      </c>
      <c r="T4" s="65" t="s">
        <v>370</v>
      </c>
      <c r="U4" s="65" t="s">
        <v>371</v>
      </c>
      <c r="V4" s="65" t="s">
        <v>372</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tabSelected="1" zoomScaleNormal="100" workbookViewId="0">
      <selection activeCell="W3" sqref="W3"/>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337</v>
      </c>
      <c r="B1" s="73" t="s">
        <v>314</v>
      </c>
      <c r="C1" s="73"/>
      <c r="D1" s="73"/>
      <c r="E1" s="73"/>
      <c r="F1" s="73"/>
      <c r="G1" s="73"/>
      <c r="H1" s="73"/>
      <c r="I1" s="73"/>
      <c r="J1" s="73"/>
      <c r="K1" s="73"/>
      <c r="L1" s="73"/>
      <c r="M1" s="73" t="s">
        <v>329</v>
      </c>
      <c r="N1" s="73"/>
      <c r="O1" s="73"/>
      <c r="P1" s="72" t="s">
        <v>302</v>
      </c>
      <c r="Q1" s="72"/>
      <c r="R1" s="72"/>
      <c r="S1" s="72"/>
      <c r="T1" s="72"/>
      <c r="U1" s="72" t="s">
        <v>304</v>
      </c>
      <c r="V1" s="72"/>
      <c r="W1" s="72"/>
      <c r="X1" s="72"/>
      <c r="Y1" s="72"/>
      <c r="Z1" s="72"/>
    </row>
    <row r="2" spans="1:27" x14ac:dyDescent="0.15">
      <c r="B2" s="76" t="s">
        <v>313</v>
      </c>
      <c r="C2" s="76"/>
      <c r="D2" s="76"/>
      <c r="E2" s="76" t="s">
        <v>316</v>
      </c>
      <c r="F2" s="76"/>
      <c r="G2" s="76"/>
      <c r="H2" s="76" t="s">
        <v>322</v>
      </c>
      <c r="I2" s="76"/>
      <c r="J2" s="76" t="s">
        <v>325</v>
      </c>
      <c r="K2" s="76"/>
      <c r="L2" s="76"/>
      <c r="M2" s="63"/>
      <c r="N2" s="64"/>
      <c r="O2" s="63"/>
      <c r="P2" s="76" t="s">
        <v>293</v>
      </c>
      <c r="Q2" s="76"/>
      <c r="R2" s="62" t="s">
        <v>297</v>
      </c>
      <c r="S2" s="76" t="s">
        <v>298</v>
      </c>
      <c r="T2" s="76"/>
      <c r="U2" s="76" t="s">
        <v>311</v>
      </c>
      <c r="V2" s="76"/>
      <c r="W2" s="76" t="s">
        <v>305</v>
      </c>
      <c r="X2" s="76"/>
      <c r="Y2" s="76"/>
      <c r="Z2" s="76" t="s">
        <v>306</v>
      </c>
      <c r="AA2" s="76"/>
    </row>
    <row r="3" spans="1:27" ht="189" x14ac:dyDescent="0.15">
      <c r="B3" s="47" t="s">
        <v>317</v>
      </c>
      <c r="C3" s="47" t="s">
        <v>318</v>
      </c>
      <c r="D3" s="47" t="s">
        <v>315</v>
      </c>
      <c r="E3" s="47" t="s">
        <v>319</v>
      </c>
      <c r="F3" s="47" t="s">
        <v>320</v>
      </c>
      <c r="G3" s="47" t="s">
        <v>321</v>
      </c>
      <c r="H3" s="47" t="s">
        <v>323</v>
      </c>
      <c r="I3" s="47" t="s">
        <v>324</v>
      </c>
      <c r="J3" s="47" t="s">
        <v>326</v>
      </c>
      <c r="K3" s="47" t="s">
        <v>328</v>
      </c>
      <c r="L3" s="47" t="s">
        <v>327</v>
      </c>
      <c r="M3" s="47" t="s">
        <v>332</v>
      </c>
      <c r="N3" s="47" t="s">
        <v>330</v>
      </c>
      <c r="O3" s="47" t="s">
        <v>331</v>
      </c>
      <c r="P3" t="s">
        <v>294</v>
      </c>
      <c r="Q3" t="s">
        <v>295</v>
      </c>
      <c r="R3" s="47" t="s">
        <v>296</v>
      </c>
      <c r="S3" s="47" t="s">
        <v>299</v>
      </c>
      <c r="T3" s="47" t="s">
        <v>300</v>
      </c>
      <c r="U3" s="47" t="s">
        <v>303</v>
      </c>
      <c r="V3" s="47" t="s">
        <v>312</v>
      </c>
      <c r="W3" s="47" t="s">
        <v>359</v>
      </c>
      <c r="X3" s="47" t="s">
        <v>309</v>
      </c>
      <c r="Y3" s="47" t="s">
        <v>310</v>
      </c>
      <c r="Z3" s="47" t="s">
        <v>307</v>
      </c>
      <c r="AA3" s="47" t="s">
        <v>308</v>
      </c>
    </row>
    <row r="4" spans="1:27" x14ac:dyDescent="0.15">
      <c r="A4" t="s">
        <v>336</v>
      </c>
      <c r="B4" t="s">
        <v>339</v>
      </c>
      <c r="C4" t="s">
        <v>340</v>
      </c>
      <c r="H4">
        <v>2</v>
      </c>
      <c r="J4" t="s">
        <v>339</v>
      </c>
      <c r="P4" s="78" t="s">
        <v>301</v>
      </c>
      <c r="Q4" s="78"/>
      <c r="R4" s="78"/>
      <c r="S4" s="78"/>
      <c r="T4" s="78"/>
    </row>
    <row r="5" spans="1:27" x14ac:dyDescent="0.15">
      <c r="P5" s="5">
        <f>3.4/(3.4+1.5+0.8+0.4)</f>
        <v>0.55737704918032782</v>
      </c>
      <c r="R5" t="s">
        <v>338</v>
      </c>
      <c r="S5">
        <v>234</v>
      </c>
      <c r="T5" s="21" t="s">
        <v>341</v>
      </c>
      <c r="V5" t="s">
        <v>342</v>
      </c>
    </row>
  </sheetData>
  <mergeCells count="14">
    <mergeCell ref="W2:Y2"/>
    <mergeCell ref="U1:Z1"/>
    <mergeCell ref="Z2:AA2"/>
    <mergeCell ref="P2:Q2"/>
    <mergeCell ref="P1:T1"/>
    <mergeCell ref="S2:T2"/>
    <mergeCell ref="B1:L1"/>
    <mergeCell ref="P4:T4"/>
    <mergeCell ref="U2:V2"/>
    <mergeCell ref="B2:D2"/>
    <mergeCell ref="E2:G2"/>
    <mergeCell ref="H2:I2"/>
    <mergeCell ref="J2:L2"/>
    <mergeCell ref="M1:O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估值方法</vt:lpstr>
      <vt:lpstr>损益表分析-收益股G</vt:lpstr>
      <vt:lpstr>成长股十五原则</vt:lpstr>
      <vt:lpstr>公司分析</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2019-03-10T09:49:07Z</dcterms:modified>
</cp:coreProperties>
</file>