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芯片" sheetId="16" r:id="rId1"/>
    <sheet name="家具制造" sheetId="21" r:id="rId2"/>
    <sheet name="中科创达" sheetId="15" r:id="rId3"/>
    <sheet name="三超新材" sheetId="14" r:id="rId4"/>
    <sheet name="全志科技" sheetId="13" r:id="rId5"/>
    <sheet name="宁波精达" sheetId="12" r:id="rId6"/>
    <sheet name="天目药业" sheetId="11" r:id="rId7"/>
    <sheet name="森霸传感" sheetId="10" r:id="rId8"/>
    <sheet name="勤上股份" sheetId="9" r:id="rId9"/>
    <sheet name="华懋科技" sheetId="8" r:id="rId10"/>
    <sheet name="拉芳家化" sheetId="7" r:id="rId11"/>
    <sheet name="方大炭素" sheetId="6" r:id="rId12"/>
    <sheet name="四川成渝" sheetId="5" r:id="rId13"/>
    <sheet name="大东方" sheetId="4" r:id="rId14"/>
    <sheet name="临时性" sheetId="17" r:id="rId15"/>
    <sheet name="粤传媒" sheetId="18" r:id="rId16"/>
    <sheet name="银之杰" sheetId="19" r:id="rId17"/>
    <sheet name="新的股票" sheetId="20" r:id="rId18"/>
  </sheets>
  <definedNames>
    <definedName name="_xlnm._FilterDatabase" localSheetId="9" hidden="1">华懋科技!$B$63:$B$64</definedName>
  </definedNames>
  <calcPr calcId="152511"/>
</workbook>
</file>

<file path=xl/calcChain.xml><?xml version="1.0" encoding="utf-8"?>
<calcChain xmlns="http://schemas.openxmlformats.org/spreadsheetml/2006/main">
  <c r="C55" i="21" l="1"/>
  <c r="B68" i="21"/>
  <c r="B67" i="21"/>
  <c r="B66" i="21"/>
  <c r="B55" i="21"/>
  <c r="B65" i="21"/>
  <c r="B64" i="21"/>
  <c r="B63" i="21"/>
  <c r="B62" i="21"/>
  <c r="B61" i="21"/>
  <c r="B60" i="21"/>
  <c r="B57" i="21"/>
  <c r="B56" i="21"/>
  <c r="C103" i="21"/>
  <c r="C102" i="21"/>
  <c r="B102" i="21"/>
  <c r="C101" i="21"/>
  <c r="C93" i="21"/>
  <c r="C91" i="21"/>
  <c r="C90" i="21"/>
  <c r="C86" i="21"/>
  <c r="B86" i="21"/>
  <c r="C85" i="21"/>
  <c r="B85" i="21"/>
  <c r="C68" i="21"/>
  <c r="C66" i="21"/>
  <c r="C67" i="21"/>
  <c r="C65" i="21"/>
  <c r="C64" i="21"/>
  <c r="C63" i="21"/>
  <c r="C62" i="21"/>
  <c r="C61" i="21"/>
  <c r="C56" i="21"/>
  <c r="C60" i="21"/>
  <c r="C50" i="21"/>
  <c r="B50" i="21"/>
  <c r="C27" i="21"/>
  <c r="B27" i="21"/>
  <c r="C24" i="21"/>
  <c r="B24" i="21"/>
  <c r="C19" i="21"/>
  <c r="B19" i="21"/>
  <c r="C18" i="21"/>
  <c r="B18" i="21"/>
  <c r="B91" i="21" l="1"/>
  <c r="B90" i="21"/>
  <c r="B93" i="21"/>
  <c r="B103" i="21"/>
  <c r="B101" i="21"/>
  <c r="H2" i="18" l="1"/>
  <c r="H3" i="18"/>
  <c r="H4" i="18"/>
  <c r="H5" i="18"/>
  <c r="H6" i="18"/>
  <c r="H7" i="18"/>
  <c r="H8" i="18"/>
  <c r="H9" i="18"/>
  <c r="H10" i="18"/>
  <c r="H11" i="18"/>
  <c r="H12" i="18"/>
  <c r="K12" i="18"/>
  <c r="K3" i="18"/>
  <c r="K4" i="18"/>
  <c r="K5" i="18"/>
  <c r="K6" i="18"/>
  <c r="K7" i="18"/>
  <c r="K8" i="18"/>
  <c r="K9" i="18"/>
  <c r="K10" i="18"/>
  <c r="K11" i="18"/>
  <c r="K2" i="18"/>
  <c r="B12" i="18"/>
  <c r="G10" i="18"/>
  <c r="G9" i="18"/>
  <c r="G8" i="18"/>
  <c r="C9" i="10" l="1"/>
  <c r="B9" i="10"/>
  <c r="B31" i="10"/>
  <c r="B27" i="10"/>
  <c r="B26" i="10"/>
  <c r="B41" i="10"/>
  <c r="B43" i="10"/>
  <c r="B74" i="18" l="1"/>
  <c r="B65" i="18"/>
  <c r="G79" i="18"/>
  <c r="B63" i="18"/>
  <c r="B62" i="18"/>
  <c r="E48" i="19" l="1"/>
  <c r="D42" i="19"/>
  <c r="D46" i="19" s="1"/>
  <c r="D48" i="19" s="1"/>
  <c r="F40" i="19"/>
  <c r="C44" i="19"/>
  <c r="B44" i="19"/>
  <c r="C43" i="19"/>
  <c r="B43" i="19"/>
  <c r="C42" i="19"/>
  <c r="B42" i="19"/>
  <c r="G41" i="19"/>
  <c r="F41" i="19"/>
  <c r="D41" i="19"/>
  <c r="C41" i="19"/>
  <c r="B41" i="19"/>
  <c r="G40" i="19"/>
  <c r="D40" i="19"/>
  <c r="C40" i="19"/>
  <c r="B40" i="19"/>
  <c r="G39" i="19"/>
  <c r="F39" i="19"/>
  <c r="D39" i="19"/>
  <c r="C39" i="19"/>
  <c r="C45" i="19" s="1"/>
  <c r="C46" i="19" s="1"/>
  <c r="C48" i="19" s="1"/>
  <c r="B39" i="19"/>
  <c r="G38" i="19"/>
  <c r="G46" i="19" s="1"/>
  <c r="G48" i="19" s="1"/>
  <c r="F38" i="19"/>
  <c r="F46" i="19" s="1"/>
  <c r="F48" i="19" s="1"/>
  <c r="E38" i="19"/>
  <c r="D38" i="19"/>
  <c r="C38" i="19"/>
  <c r="B38" i="19"/>
  <c r="B45" i="19" s="1"/>
  <c r="B46" i="19" s="1"/>
  <c r="B48" i="19" s="1"/>
  <c r="M25" i="19"/>
  <c r="L25" i="19"/>
  <c r="J25" i="19"/>
  <c r="I25" i="19"/>
  <c r="H25" i="19"/>
  <c r="G25" i="19"/>
  <c r="F25" i="19"/>
  <c r="E25" i="19"/>
  <c r="D25" i="19"/>
  <c r="C25" i="19"/>
  <c r="B25" i="19"/>
  <c r="B49" i="19" l="1"/>
  <c r="B17" i="19"/>
  <c r="B15" i="19"/>
  <c r="B16" i="19"/>
  <c r="B18" i="19"/>
  <c r="C13" i="19"/>
  <c r="B13" i="19"/>
  <c r="A13" i="19"/>
  <c r="G10" i="19"/>
  <c r="H3" i="19"/>
  <c r="H4" i="19"/>
  <c r="H5" i="19"/>
  <c r="H6" i="19"/>
  <c r="H9" i="19"/>
  <c r="H2" i="19"/>
  <c r="G8" i="19"/>
  <c r="H8" i="19" s="1"/>
  <c r="G7" i="19"/>
  <c r="H7" i="19" s="1"/>
  <c r="G6" i="19"/>
  <c r="C3" i="19"/>
  <c r="C4" i="19"/>
  <c r="C5" i="19"/>
  <c r="C6" i="19"/>
  <c r="C7" i="19"/>
  <c r="C8" i="19"/>
  <c r="C9" i="19"/>
  <c r="C2" i="19"/>
  <c r="C10" i="19" s="1"/>
  <c r="E10" i="19" s="1"/>
  <c r="H10" i="19" l="1"/>
  <c r="I10" i="19" s="1"/>
  <c r="B125" i="15"/>
  <c r="B112" i="15"/>
  <c r="C105" i="15"/>
  <c r="C106" i="15"/>
  <c r="C109" i="15" s="1"/>
  <c r="E109" i="15" s="1"/>
  <c r="C107" i="15"/>
  <c r="C108" i="15"/>
  <c r="C104" i="15"/>
  <c r="G30" i="17" l="1"/>
  <c r="H21" i="17"/>
  <c r="H22" i="17"/>
  <c r="H23" i="17"/>
  <c r="H24" i="17"/>
  <c r="H25" i="17"/>
  <c r="H26" i="17"/>
  <c r="H27" i="17"/>
  <c r="H28" i="17"/>
  <c r="H29" i="17"/>
  <c r="H20" i="17"/>
  <c r="H30" i="17" s="1"/>
  <c r="I30" i="17" s="1"/>
  <c r="B43" i="18" l="1"/>
  <c r="C20" i="18"/>
  <c r="C19" i="18"/>
  <c r="G12" i="18" l="1"/>
  <c r="B23" i="18"/>
  <c r="B20" i="18"/>
  <c r="B19" i="18"/>
  <c r="B18" i="18"/>
  <c r="B16" i="18"/>
  <c r="J14" i="17"/>
  <c r="J17" i="17"/>
  <c r="J16" i="17"/>
  <c r="J15" i="17"/>
  <c r="J13" i="17"/>
  <c r="J12" i="17"/>
  <c r="J11" i="17"/>
  <c r="J10" i="17"/>
  <c r="J2" i="17"/>
  <c r="G75" i="12" l="1"/>
  <c r="G76" i="12" s="1"/>
  <c r="G74" i="12"/>
  <c r="F75" i="12"/>
  <c r="F74" i="12"/>
  <c r="F76" i="12" s="1"/>
  <c r="E75" i="12"/>
  <c r="E74" i="12"/>
  <c r="E76" i="12" s="1"/>
  <c r="D76" i="12"/>
  <c r="D75" i="12"/>
  <c r="D74" i="12"/>
  <c r="C75" i="12"/>
  <c r="C76" i="12" s="1"/>
  <c r="C74" i="12"/>
  <c r="B75" i="12"/>
  <c r="B74" i="12"/>
  <c r="B76" i="12" s="1"/>
  <c r="J15" i="12"/>
  <c r="J14" i="12"/>
  <c r="J13" i="12"/>
  <c r="J4" i="12"/>
  <c r="J5" i="12"/>
  <c r="J6" i="12"/>
  <c r="J7" i="12"/>
  <c r="J10" i="12" s="1"/>
  <c r="J8" i="12"/>
  <c r="J9" i="12"/>
  <c r="J3" i="12"/>
  <c r="I3" i="8"/>
  <c r="I4" i="8"/>
  <c r="I5" i="8"/>
  <c r="I6" i="8"/>
  <c r="I7" i="8"/>
  <c r="I8" i="8"/>
  <c r="I2" i="8"/>
  <c r="G12" i="17" l="1"/>
  <c r="G11" i="17"/>
  <c r="G10" i="17"/>
  <c r="G9" i="17"/>
  <c r="B18" i="16" l="1"/>
  <c r="C18" i="16"/>
  <c r="D18" i="16"/>
  <c r="E18" i="16"/>
  <c r="F18" i="16"/>
  <c r="B19" i="16"/>
  <c r="C19" i="16"/>
  <c r="D19" i="16"/>
  <c r="E19" i="16"/>
  <c r="F19" i="16"/>
  <c r="B24" i="16"/>
  <c r="C24" i="16"/>
  <c r="D24" i="16"/>
  <c r="E24" i="16"/>
  <c r="F24" i="16"/>
  <c r="C31" i="16"/>
  <c r="D31" i="16"/>
  <c r="E31" i="16"/>
  <c r="F31" i="16"/>
  <c r="B51" i="16"/>
  <c r="C51" i="16"/>
  <c r="D51" i="16"/>
  <c r="E51" i="16"/>
  <c r="F51" i="16"/>
  <c r="B61" i="16"/>
  <c r="C61" i="16"/>
  <c r="C67" i="16" s="1"/>
  <c r="D61" i="16"/>
  <c r="D67" i="16" s="1"/>
  <c r="E61" i="16"/>
  <c r="E67" i="16" s="1"/>
  <c r="F61" i="16"/>
  <c r="B62" i="16"/>
  <c r="C62" i="16"/>
  <c r="D62" i="16"/>
  <c r="E62" i="16"/>
  <c r="F62" i="16"/>
  <c r="B63" i="16"/>
  <c r="C63" i="16"/>
  <c r="D63" i="16"/>
  <c r="E63" i="16"/>
  <c r="F63" i="16"/>
  <c r="B64" i="16"/>
  <c r="C64" i="16"/>
  <c r="D64" i="16"/>
  <c r="E64" i="16"/>
  <c r="F64" i="16"/>
  <c r="B65" i="16"/>
  <c r="C65" i="16"/>
  <c r="C68" i="16" s="1"/>
  <c r="D65" i="16"/>
  <c r="D68" i="16" s="1"/>
  <c r="E65" i="16"/>
  <c r="E68" i="16" s="1"/>
  <c r="F65" i="16"/>
  <c r="B66" i="16"/>
  <c r="C66" i="16"/>
  <c r="D66" i="16"/>
  <c r="E66" i="16"/>
  <c r="F66" i="16"/>
  <c r="B67" i="16"/>
  <c r="F67" i="16"/>
  <c r="B68" i="16"/>
  <c r="F68" i="16"/>
  <c r="C6" i="15" l="1"/>
  <c r="F6" i="15" s="1"/>
  <c r="E6" i="15"/>
  <c r="B7" i="15"/>
  <c r="E7" i="15" s="1"/>
  <c r="F7" i="15"/>
  <c r="B8" i="15"/>
  <c r="E8" i="15"/>
  <c r="F8" i="15"/>
  <c r="B26" i="15"/>
  <c r="B27" i="15"/>
  <c r="B32" i="15"/>
  <c r="B35" i="15"/>
  <c r="B67" i="15"/>
  <c r="B68" i="15"/>
  <c r="B78" i="15"/>
  <c r="B84" i="15" s="1"/>
  <c r="B79" i="15"/>
  <c r="B80" i="15"/>
  <c r="B81" i="15"/>
  <c r="B82" i="15"/>
  <c r="B85" i="15" s="1"/>
  <c r="B83" i="15"/>
  <c r="C88" i="15"/>
  <c r="E88" i="15"/>
  <c r="C89" i="15"/>
  <c r="E89" i="15"/>
  <c r="C90" i="15"/>
  <c r="E90" i="15"/>
  <c r="C91" i="15"/>
  <c r="E91" i="15"/>
  <c r="C92" i="15"/>
  <c r="E92" i="15"/>
  <c r="C93" i="15"/>
  <c r="E93" i="15"/>
  <c r="B97" i="15"/>
  <c r="B101" i="15"/>
  <c r="C101" i="15"/>
  <c r="B12" i="14"/>
  <c r="B24" i="14" s="1"/>
  <c r="B23" i="14"/>
  <c r="B29" i="14"/>
  <c r="B36" i="14"/>
  <c r="B37" i="14" s="1"/>
  <c r="B59" i="14"/>
  <c r="B60" i="14"/>
  <c r="B61" i="14"/>
  <c r="B62" i="14"/>
  <c r="B64" i="14"/>
  <c r="B65" i="14"/>
  <c r="B66" i="14"/>
  <c r="B25" i="13"/>
  <c r="C25" i="13"/>
  <c r="B26" i="13"/>
  <c r="C26" i="13"/>
  <c r="B27" i="13"/>
  <c r="C27" i="13"/>
  <c r="B28" i="13"/>
  <c r="C28" i="13"/>
  <c r="B29" i="13"/>
  <c r="B32" i="13" s="1"/>
  <c r="C29" i="13"/>
  <c r="C32" i="13" s="1"/>
  <c r="B30" i="13"/>
  <c r="C30" i="13"/>
  <c r="B31" i="13"/>
  <c r="C31" i="13"/>
  <c r="B40" i="13"/>
  <c r="C40" i="13"/>
  <c r="D40" i="13"/>
  <c r="E40" i="13"/>
  <c r="B41" i="13"/>
  <c r="C41" i="13"/>
  <c r="D41" i="13"/>
  <c r="E41" i="13"/>
  <c r="B54" i="13"/>
  <c r="C54" i="13"/>
  <c r="D54" i="13"/>
  <c r="E54" i="13"/>
  <c r="B61" i="13"/>
  <c r="B74" i="13"/>
  <c r="F6" i="12"/>
  <c r="G6" i="12"/>
  <c r="F7" i="12"/>
  <c r="G7" i="12"/>
  <c r="F8" i="12"/>
  <c r="G8" i="12"/>
  <c r="F9" i="12"/>
  <c r="G9" i="12"/>
  <c r="B10" i="12"/>
  <c r="F10" i="12" s="1"/>
  <c r="B21" i="12"/>
  <c r="C21" i="12"/>
  <c r="D21" i="12"/>
  <c r="B26" i="12"/>
  <c r="B27" i="12"/>
  <c r="B31" i="12"/>
  <c r="B32" i="12" s="1"/>
  <c r="B39" i="12"/>
  <c r="B52" i="12"/>
  <c r="B62" i="12"/>
  <c r="B68" i="12" s="1"/>
  <c r="B63" i="12"/>
  <c r="B64" i="12"/>
  <c r="B65" i="12"/>
  <c r="B66" i="12"/>
  <c r="B69" i="12" s="1"/>
  <c r="B67" i="12"/>
  <c r="C18" i="11"/>
  <c r="B24" i="11"/>
  <c r="B25" i="11"/>
  <c r="B30" i="11"/>
  <c r="B37" i="11"/>
  <c r="B38" i="11" s="1"/>
  <c r="B60" i="11"/>
  <c r="B66" i="11" s="1"/>
  <c r="B61" i="11"/>
  <c r="B62" i="11"/>
  <c r="B63" i="11"/>
  <c r="B64" i="11"/>
  <c r="B67" i="11" s="1"/>
  <c r="B65" i="11"/>
  <c r="B39" i="15" l="1"/>
  <c r="B40" i="15" s="1"/>
  <c r="E7" i="10"/>
  <c r="F7" i="10"/>
  <c r="B13" i="10"/>
  <c r="C13" i="10"/>
  <c r="B14" i="10"/>
  <c r="B15" i="10" s="1"/>
  <c r="C14" i="10"/>
  <c r="C15" i="10" s="1"/>
  <c r="C2" i="9"/>
  <c r="B4" i="9"/>
  <c r="B5" i="9"/>
  <c r="C8" i="9"/>
  <c r="B14" i="9"/>
  <c r="C15" i="9"/>
  <c r="E18" i="9"/>
  <c r="F18" i="9"/>
  <c r="E19" i="9"/>
  <c r="F19" i="9"/>
  <c r="E20" i="9"/>
  <c r="F20" i="9"/>
  <c r="E21" i="9"/>
  <c r="F21" i="9"/>
  <c r="E22" i="9"/>
  <c r="F22" i="9"/>
  <c r="E23" i="9"/>
  <c r="F23" i="9"/>
  <c r="E24" i="9"/>
  <c r="F24" i="9"/>
  <c r="E6" i="8"/>
  <c r="F6" i="8"/>
  <c r="E7" i="8"/>
  <c r="F7" i="8"/>
  <c r="E8" i="8"/>
  <c r="F8" i="8"/>
  <c r="B27" i="8"/>
  <c r="B28" i="8"/>
  <c r="B33" i="8"/>
  <c r="B36" i="8"/>
  <c r="B40" i="8"/>
  <c r="B41" i="8" s="1"/>
  <c r="B56" i="8"/>
  <c r="B60" i="8"/>
  <c r="B61" i="8"/>
  <c r="B67" i="8" s="1"/>
  <c r="B62" i="8"/>
  <c r="B63" i="8"/>
  <c r="B64" i="8"/>
  <c r="B65" i="8"/>
  <c r="B68" i="8" s="1"/>
  <c r="B66" i="8"/>
  <c r="B72" i="8"/>
  <c r="B74" i="8" s="1"/>
  <c r="C72" i="8"/>
  <c r="C74" i="8" s="1"/>
  <c r="D72" i="8"/>
  <c r="B73" i="8"/>
  <c r="C73" i="8"/>
  <c r="D73" i="8"/>
  <c r="D74" i="8" s="1"/>
  <c r="M2" i="7"/>
  <c r="N2" i="7"/>
  <c r="B5" i="7"/>
  <c r="E7" i="7"/>
  <c r="F7" i="7"/>
  <c r="E8" i="7"/>
  <c r="F8" i="7"/>
  <c r="L8" i="6"/>
  <c r="E2" i="5"/>
  <c r="F2" i="5"/>
  <c r="I2" i="5"/>
  <c r="E3" i="5"/>
  <c r="F3" i="5"/>
  <c r="I3" i="5"/>
  <c r="E4" i="5"/>
  <c r="F4" i="5"/>
  <c r="I4" i="5"/>
  <c r="E5" i="5"/>
  <c r="F5" i="5"/>
  <c r="I5" i="5"/>
  <c r="E6" i="5"/>
  <c r="F6" i="5"/>
  <c r="I6" i="5"/>
  <c r="E7" i="5"/>
  <c r="F7" i="5"/>
  <c r="I7" i="5"/>
  <c r="E8" i="5"/>
  <c r="F8" i="5"/>
  <c r="I8" i="5"/>
  <c r="B12" i="5"/>
  <c r="C15" i="5"/>
  <c r="C16" i="5" s="1"/>
  <c r="C18" i="5"/>
  <c r="C21" i="5"/>
  <c r="C22" i="5"/>
  <c r="C26" i="5" s="1"/>
  <c r="C25" i="5"/>
  <c r="C29" i="5" s="1"/>
  <c r="B26" i="5"/>
  <c r="B29" i="5"/>
  <c r="B32" i="5"/>
  <c r="B35" i="5"/>
  <c r="B39" i="5"/>
  <c r="C45" i="5"/>
  <c r="C46" i="5"/>
  <c r="C48" i="5"/>
  <c r="B76" i="5"/>
  <c r="B82" i="5" s="1"/>
  <c r="C76" i="5"/>
  <c r="B77" i="5"/>
  <c r="C77" i="5"/>
  <c r="B78" i="5"/>
  <c r="C78" i="5"/>
  <c r="B79" i="5"/>
  <c r="C79" i="5"/>
  <c r="B81" i="5"/>
  <c r="C81" i="5"/>
  <c r="C82" i="5"/>
  <c r="B83" i="5"/>
  <c r="C83" i="5"/>
  <c r="E2" i="4"/>
  <c r="F2" i="4"/>
  <c r="I2" i="4"/>
  <c r="E3" i="4"/>
  <c r="F3" i="4"/>
  <c r="I3" i="4"/>
  <c r="E4" i="4"/>
  <c r="F4" i="4"/>
  <c r="I4" i="4"/>
  <c r="E5" i="4"/>
  <c r="F5" i="4"/>
  <c r="I5" i="4"/>
  <c r="E6" i="4"/>
  <c r="F6" i="4"/>
  <c r="I6" i="4"/>
  <c r="E7" i="4"/>
  <c r="F7" i="4"/>
  <c r="I7" i="4"/>
  <c r="E8" i="4"/>
  <c r="F8" i="4"/>
  <c r="I8" i="4"/>
  <c r="B21" i="4"/>
  <c r="B26" i="4"/>
  <c r="B27" i="4"/>
  <c r="B32" i="4"/>
  <c r="B35" i="4"/>
  <c r="B39" i="4"/>
  <c r="B70" i="4"/>
  <c r="B81" i="4" s="1"/>
  <c r="B73" i="4"/>
  <c r="B76" i="4"/>
  <c r="B77" i="4"/>
  <c r="B78" i="4"/>
  <c r="B79" i="4"/>
  <c r="B80" i="4"/>
  <c r="B83" i="4" s="1"/>
  <c r="B82" i="4"/>
  <c r="D15" i="10" l="1"/>
  <c r="C35" i="5"/>
  <c r="C31" i="5"/>
  <c r="D13" i="10"/>
  <c r="D14" i="10"/>
  <c r="C27" i="5"/>
  <c r="B15" i="5"/>
  <c r="C49" i="5" l="1"/>
  <c r="C39" i="5" s="1"/>
  <c r="C32" i="5"/>
  <c r="B27" i="5"/>
  <c r="B18" i="5"/>
  <c r="B16" i="5"/>
</calcChain>
</file>

<file path=xl/sharedStrings.xml><?xml version="1.0" encoding="utf-8"?>
<sst xmlns="http://schemas.openxmlformats.org/spreadsheetml/2006/main" count="1137" uniqueCount="452">
  <si>
    <t>以当时开采速度计算的矿井寿命</t>
    <phoneticPr fontId="1" type="noConversion"/>
  </si>
  <si>
    <t>矿储备</t>
    <phoneticPr fontId="1" type="noConversion"/>
  </si>
  <si>
    <t>店面利润</t>
    <phoneticPr fontId="1" type="noConversion"/>
  </si>
  <si>
    <t>店面销售额</t>
    <phoneticPr fontId="1" type="noConversion"/>
  </si>
  <si>
    <t>运营店面数</t>
    <phoneticPr fontId="1" type="noConversion"/>
  </si>
  <si>
    <t>2杂项</t>
    <phoneticPr fontId="1" type="noConversion"/>
  </si>
  <si>
    <t>单位普通股价值</t>
    <phoneticPr fontId="1" type="noConversion"/>
  </si>
  <si>
    <t>单位总资本</t>
    <phoneticPr fontId="1" type="noConversion"/>
  </si>
  <si>
    <t>单位利润</t>
    <phoneticPr fontId="1" type="noConversion"/>
  </si>
  <si>
    <t>单位成本</t>
    <phoneticPr fontId="1" type="noConversion"/>
  </si>
  <si>
    <t>单位收入</t>
    <phoneticPr fontId="1" type="noConversion"/>
  </si>
  <si>
    <t>产量</t>
    <phoneticPr fontId="1" type="noConversion"/>
  </si>
  <si>
    <t>1实物产出</t>
    <phoneticPr fontId="1" type="noConversion"/>
  </si>
  <si>
    <t>H补充数据（如可获取时）</t>
    <phoneticPr fontId="1" type="noConversion"/>
  </si>
  <si>
    <t>38每股有形资产净值（减全部前期债务）</t>
    <phoneticPr fontId="1" type="noConversion"/>
  </si>
  <si>
    <t>37普通股每股净流动资产（减全部前期债务）</t>
    <phoneticPr fontId="1" type="noConversion"/>
  </si>
  <si>
    <t>36普通股每股现金资产（减全部前期债务）</t>
    <phoneticPr fontId="1" type="noConversion"/>
  </si>
  <si>
    <t>35资本总额的有形资产净值</t>
    <phoneticPr fontId="1" type="noConversion"/>
  </si>
  <si>
    <t>34应收账款与销售额的比率</t>
    <phoneticPr fontId="1" type="noConversion"/>
  </si>
  <si>
    <t>33存货与销售额比率</t>
    <phoneticPr fontId="1" type="noConversion"/>
  </si>
  <si>
    <t>32流动资产与流动负债比率</t>
    <phoneticPr fontId="1" type="noConversion"/>
  </si>
  <si>
    <t>31净流动资产</t>
    <phoneticPr fontId="1" type="noConversion"/>
  </si>
  <si>
    <t>30.N应付票据（含银行贷款和应付票据）</t>
    <phoneticPr fontId="1" type="noConversion"/>
  </si>
  <si>
    <t>30总流动负债</t>
    <phoneticPr fontId="1" type="noConversion"/>
  </si>
  <si>
    <t>29总流动资产</t>
    <phoneticPr fontId="1" type="noConversion"/>
  </si>
  <si>
    <t>28存货（扣除减值准备）</t>
    <phoneticPr fontId="1" type="noConversion"/>
  </si>
  <si>
    <t>27应收账款（扣除减值准备）</t>
    <phoneticPr fontId="1" type="noConversion"/>
  </si>
  <si>
    <t>26现金</t>
    <phoneticPr fontId="1" type="noConversion"/>
  </si>
  <si>
    <t>G资产负债表</t>
    <phoneticPr fontId="1" type="noConversion"/>
  </si>
  <si>
    <t>25.P优先股股息收益率</t>
    <phoneticPr fontId="1" type="noConversion"/>
  </si>
  <si>
    <t>24.P优先股股息率</t>
    <phoneticPr fontId="1" type="noConversion"/>
  </si>
  <si>
    <t>25普通股股息收益率</t>
    <phoneticPr fontId="1" type="noConversion"/>
  </si>
  <si>
    <t>24普通股股息率</t>
    <phoneticPr fontId="1" type="noConversion"/>
  </si>
  <si>
    <t>F股息</t>
    <phoneticPr fontId="1" type="noConversion"/>
  </si>
  <si>
    <t>23过去7年每年普通股每股收益</t>
    <phoneticPr fontId="1" type="noConversion"/>
  </si>
  <si>
    <t>E趋势数据</t>
    <phoneticPr fontId="1" type="noConversion"/>
  </si>
  <si>
    <t>22普通股每股收益与当前市价比</t>
    <phoneticPr fontId="1" type="noConversion"/>
  </si>
  <si>
    <t>21普通股每股收益</t>
    <phoneticPr fontId="1" type="noConversion"/>
  </si>
  <si>
    <t>20利息保障倍数</t>
    <phoneticPr fontId="1" type="noConversion"/>
  </si>
  <si>
    <t>D7年均值</t>
    <phoneticPr fontId="1" type="noConversion"/>
  </si>
  <si>
    <t>19.S.P总收入与优先股市值比率</t>
    <phoneticPr fontId="1" type="noConversion"/>
  </si>
  <si>
    <t>19总收入与普通股市值比率</t>
    <phoneticPr fontId="1" type="noConversion"/>
  </si>
  <si>
    <t>18.S.P优先股每股收益与市价的比率（%）</t>
    <phoneticPr fontId="1" type="noConversion"/>
  </si>
  <si>
    <t>17.S.P优先股每股收益</t>
    <phoneticPr fontId="1" type="noConversion"/>
  </si>
  <si>
    <t>18普通股每股收益与市价比率（%）</t>
    <phoneticPr fontId="1" type="noConversion"/>
  </si>
  <si>
    <t>17普通股每股收益</t>
    <phoneticPr fontId="1" type="noConversion"/>
  </si>
  <si>
    <t>16.I.P利息和优先股息保障倍数</t>
    <phoneticPr fontId="1" type="noConversion"/>
  </si>
  <si>
    <t>16利息保障倍数</t>
    <phoneticPr fontId="1" type="noConversion"/>
  </si>
  <si>
    <t>C计算</t>
    <phoneticPr fontId="1" type="noConversion"/>
  </si>
  <si>
    <t>15总资本收益率（%）（第10项与第4项的比率）</t>
    <phoneticPr fontId="1" type="noConversion"/>
  </si>
  <si>
    <t>14边际利润（第10项与第8项的比率）</t>
    <phoneticPr fontId="1" type="noConversion"/>
  </si>
  <si>
    <t>13归属普通股股东的净利润</t>
    <phoneticPr fontId="1" type="noConversion"/>
  </si>
  <si>
    <t>12应计优先股股息</t>
    <phoneticPr fontId="1" type="noConversion"/>
  </si>
  <si>
    <t>11债券利息</t>
    <phoneticPr fontId="1" type="noConversion"/>
  </si>
  <si>
    <t>10息前利润</t>
    <phoneticPr fontId="1" type="noConversion"/>
  </si>
  <si>
    <t>9折旧</t>
    <phoneticPr fontId="1" type="noConversion"/>
  </si>
  <si>
    <t>8总销售额</t>
    <phoneticPr fontId="1" type="noConversion"/>
  </si>
  <si>
    <t>B损益账户（最近年份）</t>
    <phoneticPr fontId="1" type="noConversion"/>
  </si>
  <si>
    <t>7普通股市值与总资本比率</t>
    <phoneticPr fontId="1" type="noConversion"/>
  </si>
  <si>
    <t>6优先股市值与总资本比率</t>
    <phoneticPr fontId="1" type="noConversion"/>
  </si>
  <si>
    <t>5债券与总资本比率</t>
    <phoneticPr fontId="1" type="noConversion"/>
  </si>
  <si>
    <t>4总资本（所有者权益）</t>
    <phoneticPr fontId="1" type="noConversion"/>
  </si>
  <si>
    <t>3普通股市值（股数*市价）</t>
    <phoneticPr fontId="1" type="noConversion"/>
  </si>
  <si>
    <t>2优先股市值（股数*市价）</t>
    <phoneticPr fontId="1" type="noConversion"/>
  </si>
  <si>
    <t>1债券面值</t>
    <phoneticPr fontId="1" type="noConversion"/>
  </si>
  <si>
    <t>A资本结构</t>
    <phoneticPr fontId="1" type="noConversion"/>
  </si>
  <si>
    <t>现价</t>
    <phoneticPr fontId="1" type="noConversion"/>
  </si>
  <si>
    <t>最低价</t>
    <phoneticPr fontId="1" type="noConversion"/>
  </si>
  <si>
    <t>最高价</t>
    <phoneticPr fontId="1" type="noConversion"/>
  </si>
  <si>
    <t>每股股息与股价的比率</t>
    <phoneticPr fontId="1" type="noConversion"/>
  </si>
  <si>
    <t>每股收益与股价的比率</t>
    <phoneticPr fontId="1" type="noConversion"/>
  </si>
  <si>
    <t>收盘价</t>
    <phoneticPr fontId="1" type="noConversion"/>
  </si>
  <si>
    <t>股息</t>
    <phoneticPr fontId="1" type="noConversion"/>
  </si>
  <si>
    <t>每股收益</t>
    <phoneticPr fontId="1" type="noConversion"/>
  </si>
  <si>
    <t>年份</t>
    <phoneticPr fontId="1" type="noConversion"/>
  </si>
  <si>
    <t>以当时开采速度计算的矿井寿命</t>
    <phoneticPr fontId="1" type="noConversion"/>
  </si>
  <si>
    <t>矿储备</t>
    <phoneticPr fontId="1" type="noConversion"/>
  </si>
  <si>
    <t>店面利润</t>
    <phoneticPr fontId="1" type="noConversion"/>
  </si>
  <si>
    <t>店面销售额</t>
    <phoneticPr fontId="1" type="noConversion"/>
  </si>
  <si>
    <t>运营店面数</t>
    <phoneticPr fontId="1" type="noConversion"/>
  </si>
  <si>
    <t>2杂项</t>
    <phoneticPr fontId="1" type="noConversion"/>
  </si>
  <si>
    <t>单位普通股价值</t>
    <phoneticPr fontId="1" type="noConversion"/>
  </si>
  <si>
    <t>单位总资本</t>
    <phoneticPr fontId="1" type="noConversion"/>
  </si>
  <si>
    <t>单位利润</t>
    <phoneticPr fontId="1" type="noConversion"/>
  </si>
  <si>
    <t>单位成本</t>
    <phoneticPr fontId="1" type="noConversion"/>
  </si>
  <si>
    <t>单位收入</t>
    <phoneticPr fontId="1" type="noConversion"/>
  </si>
  <si>
    <t>产量</t>
    <phoneticPr fontId="1" type="noConversion"/>
  </si>
  <si>
    <t>1实物产出</t>
    <phoneticPr fontId="1" type="noConversion"/>
  </si>
  <si>
    <t>H补充数据（如可获取时）</t>
    <phoneticPr fontId="1" type="noConversion"/>
  </si>
  <si>
    <t>38每股有形资产净值（减全部前期债务）</t>
    <phoneticPr fontId="1" type="noConversion"/>
  </si>
  <si>
    <t>37普通股每股净流动资产（减全部前期债务）</t>
    <phoneticPr fontId="1" type="noConversion"/>
  </si>
  <si>
    <t>36普通股每股现金资产（减全部前期债务）</t>
    <phoneticPr fontId="1" type="noConversion"/>
  </si>
  <si>
    <t>35资本总额的有形资产净值</t>
    <phoneticPr fontId="1" type="noConversion"/>
  </si>
  <si>
    <t>34应收账款与销售额的比率</t>
    <phoneticPr fontId="1" type="noConversion"/>
  </si>
  <si>
    <t>33存货与销售额比率</t>
    <phoneticPr fontId="1" type="noConversion"/>
  </si>
  <si>
    <t>32流动资产与流动负债比率</t>
    <phoneticPr fontId="1" type="noConversion"/>
  </si>
  <si>
    <t>31净流动资产</t>
    <phoneticPr fontId="1" type="noConversion"/>
  </si>
  <si>
    <t>30.N应付票据（含银行贷款和应付票据）</t>
    <phoneticPr fontId="1" type="noConversion"/>
  </si>
  <si>
    <t>30总流动负债</t>
    <phoneticPr fontId="1" type="noConversion"/>
  </si>
  <si>
    <t>29总流动资产</t>
    <phoneticPr fontId="1" type="noConversion"/>
  </si>
  <si>
    <t>28存货（扣除减值准备）</t>
    <phoneticPr fontId="1" type="noConversion"/>
  </si>
  <si>
    <t>27应收账款（扣除减值准备）</t>
    <phoneticPr fontId="1" type="noConversion"/>
  </si>
  <si>
    <t>26现金</t>
    <phoneticPr fontId="1" type="noConversion"/>
  </si>
  <si>
    <t>G资产负债表</t>
    <phoneticPr fontId="1" type="noConversion"/>
  </si>
  <si>
    <t>25.P优先股股息收益率</t>
    <phoneticPr fontId="1" type="noConversion"/>
  </si>
  <si>
    <t>24.P优先股股息率</t>
    <phoneticPr fontId="1" type="noConversion"/>
  </si>
  <si>
    <t>25普通股股息收益率</t>
    <phoneticPr fontId="1" type="noConversion"/>
  </si>
  <si>
    <t>24普通股股息率</t>
    <phoneticPr fontId="1" type="noConversion"/>
  </si>
  <si>
    <t>F股息</t>
    <phoneticPr fontId="1" type="noConversion"/>
  </si>
  <si>
    <t>23过去7年每年普通股每股收益</t>
    <phoneticPr fontId="1" type="noConversion"/>
  </si>
  <si>
    <t>E趋势数据</t>
    <phoneticPr fontId="1" type="noConversion"/>
  </si>
  <si>
    <t>22普通股每股收益与当前市价比</t>
    <phoneticPr fontId="1" type="noConversion"/>
  </si>
  <si>
    <t>21普通股每股收益</t>
    <phoneticPr fontId="1" type="noConversion"/>
  </si>
  <si>
    <t>20利息保障倍数</t>
    <phoneticPr fontId="1" type="noConversion"/>
  </si>
  <si>
    <t>D7年均值</t>
    <phoneticPr fontId="1" type="noConversion"/>
  </si>
  <si>
    <t>19.S.P总收入与优先股市值比率</t>
    <phoneticPr fontId="1" type="noConversion"/>
  </si>
  <si>
    <t>19总收入与普通股市值比率</t>
    <phoneticPr fontId="1" type="noConversion"/>
  </si>
  <si>
    <t>18.S.P优先股每股收益与市价的比率（%）</t>
    <phoneticPr fontId="1" type="noConversion"/>
  </si>
  <si>
    <t>17.S.P优先股每股收益</t>
    <phoneticPr fontId="1" type="noConversion"/>
  </si>
  <si>
    <t>18普通股每股收益与市价比率（%）</t>
    <phoneticPr fontId="1" type="noConversion"/>
  </si>
  <si>
    <t>17普通股每股收益</t>
    <phoneticPr fontId="1" type="noConversion"/>
  </si>
  <si>
    <t>16.I.P利息和优先股息保障倍数</t>
    <phoneticPr fontId="1" type="noConversion"/>
  </si>
  <si>
    <t>16利息保障倍数</t>
    <phoneticPr fontId="1" type="noConversion"/>
  </si>
  <si>
    <t>C计算</t>
    <phoneticPr fontId="1" type="noConversion"/>
  </si>
  <si>
    <t>15总资本收益率（%）（第10项与第4项的比率）</t>
    <phoneticPr fontId="1" type="noConversion"/>
  </si>
  <si>
    <t>14边际利润（第10项与第8项的比率）</t>
    <phoneticPr fontId="1" type="noConversion"/>
  </si>
  <si>
    <t>13归属普通股股东的净利润</t>
    <phoneticPr fontId="1" type="noConversion"/>
  </si>
  <si>
    <t>12应计优先股股息</t>
    <phoneticPr fontId="1" type="noConversion"/>
  </si>
  <si>
    <t>11债券利息</t>
    <phoneticPr fontId="1" type="noConversion"/>
  </si>
  <si>
    <t>10息前利润</t>
    <phoneticPr fontId="1" type="noConversion"/>
  </si>
  <si>
    <t>9折旧</t>
    <phoneticPr fontId="1" type="noConversion"/>
  </si>
  <si>
    <t>8总销售额</t>
    <phoneticPr fontId="1" type="noConversion"/>
  </si>
  <si>
    <t>B损益账户（最近年份）</t>
    <phoneticPr fontId="1" type="noConversion"/>
  </si>
  <si>
    <t>7普通股市值与总资本比率</t>
    <phoneticPr fontId="1" type="noConversion"/>
  </si>
  <si>
    <t>6优先股市值与总资本比率</t>
    <phoneticPr fontId="1" type="noConversion"/>
  </si>
  <si>
    <t>5债券与总资本比率</t>
    <phoneticPr fontId="1" type="noConversion"/>
  </si>
  <si>
    <t>4总资本（所有者权益）</t>
    <phoneticPr fontId="1" type="noConversion"/>
  </si>
  <si>
    <t>3普通股市值（股数*市价）</t>
    <phoneticPr fontId="1" type="noConversion"/>
  </si>
  <si>
    <t>2优先股市值（股数*市价）</t>
    <phoneticPr fontId="1" type="noConversion"/>
  </si>
  <si>
    <t>1债券面值</t>
    <phoneticPr fontId="1" type="noConversion"/>
  </si>
  <si>
    <t>A资本结构</t>
    <phoneticPr fontId="1" type="noConversion"/>
  </si>
  <si>
    <t>现价</t>
    <phoneticPr fontId="1" type="noConversion"/>
  </si>
  <si>
    <t>山东高速</t>
    <phoneticPr fontId="1" type="noConversion"/>
  </si>
  <si>
    <t>四川成渝</t>
    <phoneticPr fontId="1" type="noConversion"/>
  </si>
  <si>
    <t>平均价</t>
    <phoneticPr fontId="1" type="noConversion"/>
  </si>
  <si>
    <t>最低价</t>
    <phoneticPr fontId="1" type="noConversion"/>
  </si>
  <si>
    <t>最高价</t>
    <phoneticPr fontId="1" type="noConversion"/>
  </si>
  <si>
    <t>每股股息与股价的比率</t>
    <phoneticPr fontId="1" type="noConversion"/>
  </si>
  <si>
    <t>每股收益与股价的比率</t>
    <phoneticPr fontId="1" type="noConversion"/>
  </si>
  <si>
    <t>收盘价</t>
    <phoneticPr fontId="1" type="noConversion"/>
  </si>
  <si>
    <t>股息</t>
    <phoneticPr fontId="1" type="noConversion"/>
  </si>
  <si>
    <t>每股收益</t>
    <phoneticPr fontId="1" type="noConversion"/>
  </si>
  <si>
    <t>年份</t>
    <phoneticPr fontId="1" type="noConversion"/>
  </si>
  <si>
    <t>股价增长</t>
    <phoneticPr fontId="1" type="noConversion"/>
  </si>
  <si>
    <t>营业收入增长</t>
    <phoneticPr fontId="1" type="noConversion"/>
  </si>
  <si>
    <t>净利润增长</t>
    <phoneticPr fontId="1" type="noConversion"/>
  </si>
  <si>
    <t>管理费用增长</t>
    <phoneticPr fontId="1" type="noConversion"/>
  </si>
  <si>
    <t>占营业利润</t>
    <phoneticPr fontId="1" type="noConversion"/>
  </si>
  <si>
    <t>占营业收入</t>
    <phoneticPr fontId="1" type="noConversion"/>
  </si>
  <si>
    <t>营业利润</t>
    <phoneticPr fontId="1" type="noConversion"/>
  </si>
  <si>
    <t>营业收入</t>
    <phoneticPr fontId="1" type="noConversion"/>
  </si>
  <si>
    <t>研发支出</t>
    <phoneticPr fontId="1" type="noConversion"/>
  </si>
  <si>
    <t>每股总收益</t>
    <phoneticPr fontId="1" type="noConversion"/>
  </si>
  <si>
    <t>平均每股收益</t>
    <phoneticPr fontId="1" type="noConversion"/>
  </si>
  <si>
    <t>股价增长</t>
    <phoneticPr fontId="1" type="noConversion"/>
  </si>
  <si>
    <t>营业收入增长</t>
    <phoneticPr fontId="1" type="noConversion"/>
  </si>
  <si>
    <t>净利润增长</t>
    <phoneticPr fontId="1" type="noConversion"/>
  </si>
  <si>
    <t>管理费用增长</t>
    <phoneticPr fontId="1" type="noConversion"/>
  </si>
  <si>
    <t>最低价</t>
    <phoneticPr fontId="1" type="noConversion"/>
  </si>
  <si>
    <t>最高价</t>
    <phoneticPr fontId="1" type="noConversion"/>
  </si>
  <si>
    <t>每股股息与股价的比率</t>
    <phoneticPr fontId="1" type="noConversion"/>
  </si>
  <si>
    <t>每股收益与股价的比率</t>
    <phoneticPr fontId="1" type="noConversion"/>
  </si>
  <si>
    <t>收盘价</t>
    <phoneticPr fontId="1" type="noConversion"/>
  </si>
  <si>
    <t>股息</t>
    <phoneticPr fontId="1" type="noConversion"/>
  </si>
  <si>
    <t>每股收益</t>
    <phoneticPr fontId="1" type="noConversion"/>
  </si>
  <si>
    <t>年份</t>
    <phoneticPr fontId="1" type="noConversion"/>
  </si>
  <si>
    <t>被动安全系统部件</t>
    <phoneticPr fontId="1" type="noConversion"/>
  </si>
  <si>
    <t>2017（万米）2016</t>
    <phoneticPr fontId="1" type="noConversion"/>
  </si>
  <si>
    <t>资产收益</t>
    <phoneticPr fontId="1" type="noConversion"/>
  </si>
  <si>
    <t>英伦教育股权</t>
    <phoneticPr fontId="1" type="noConversion"/>
  </si>
  <si>
    <t>资产减值存货跌价</t>
    <phoneticPr fontId="1" type="noConversion"/>
  </si>
  <si>
    <t>资产减值长期股权投资减值损失</t>
    <phoneticPr fontId="1" type="noConversion"/>
  </si>
  <si>
    <t>资产减值坏账损失</t>
    <phoneticPr fontId="1" type="noConversion"/>
  </si>
  <si>
    <t>管理费用折旧及摊销</t>
    <phoneticPr fontId="1" type="noConversion"/>
  </si>
  <si>
    <t>销售费用折旧费</t>
    <phoneticPr fontId="1" type="noConversion"/>
  </si>
  <si>
    <t>销售费用无形资产摊销</t>
    <phoneticPr fontId="1" type="noConversion"/>
  </si>
  <si>
    <t>长期待摊费用摊销</t>
    <phoneticPr fontId="1" type="noConversion"/>
  </si>
  <si>
    <t>无形资产摊销</t>
    <phoneticPr fontId="1" type="noConversion"/>
  </si>
  <si>
    <t>固定资产折旧</t>
    <phoneticPr fontId="1" type="noConversion"/>
  </si>
  <si>
    <t>存货跌价准备</t>
    <phoneticPr fontId="1" type="noConversion"/>
  </si>
  <si>
    <t>其他应收款计提坏账准备</t>
    <phoneticPr fontId="1" type="noConversion"/>
  </si>
  <si>
    <t>应收款计提坏账准备</t>
    <phoneticPr fontId="1" type="noConversion"/>
  </si>
  <si>
    <t>时间</t>
    <phoneticPr fontId="1" type="noConversion"/>
  </si>
  <si>
    <t>传感器（万只）</t>
    <phoneticPr fontId="1" type="noConversion"/>
  </si>
  <si>
    <t>38每股有形资产净值（减全部前期债务）</t>
    <phoneticPr fontId="1" type="noConversion"/>
  </si>
  <si>
    <t>37普通股每股净流动资产（减全部前期债务）</t>
    <phoneticPr fontId="1" type="noConversion"/>
  </si>
  <si>
    <t>36普通股每股现金资产（减全部前期债务）</t>
    <phoneticPr fontId="1" type="noConversion"/>
  </si>
  <si>
    <t>35资本总额的有形资产净值</t>
    <phoneticPr fontId="1" type="noConversion"/>
  </si>
  <si>
    <t>34应收账款与销售额的比率</t>
    <phoneticPr fontId="1" type="noConversion"/>
  </si>
  <si>
    <t>33存货与销售额比率</t>
    <phoneticPr fontId="1" type="noConversion"/>
  </si>
  <si>
    <t>33存货与销售额比率</t>
    <phoneticPr fontId="1" type="noConversion"/>
  </si>
  <si>
    <t>32流动资产与流动负债比率</t>
    <phoneticPr fontId="1" type="noConversion"/>
  </si>
  <si>
    <t>31净流动资产</t>
    <phoneticPr fontId="1" type="noConversion"/>
  </si>
  <si>
    <t>30.N应付票据（含银行贷款和应付票据）</t>
    <phoneticPr fontId="1" type="noConversion"/>
  </si>
  <si>
    <t>30.N应付票据（含银行贷款和应付票据）</t>
    <phoneticPr fontId="1" type="noConversion"/>
  </si>
  <si>
    <t>30总流动负债</t>
    <phoneticPr fontId="1" type="noConversion"/>
  </si>
  <si>
    <t>29总流动资产</t>
    <phoneticPr fontId="1" type="noConversion"/>
  </si>
  <si>
    <t>28存货（扣除减值准备）</t>
    <phoneticPr fontId="1" type="noConversion"/>
  </si>
  <si>
    <t>27应收账款（扣除减值准备）</t>
    <phoneticPr fontId="1" type="noConversion"/>
  </si>
  <si>
    <t>26现金</t>
    <phoneticPr fontId="1" type="noConversion"/>
  </si>
  <si>
    <t>G资产负债表</t>
    <phoneticPr fontId="1" type="noConversion"/>
  </si>
  <si>
    <t>25.P优先股股息收益率</t>
    <phoneticPr fontId="1" type="noConversion"/>
  </si>
  <si>
    <t>24.P优先股股息率</t>
    <phoneticPr fontId="1" type="noConversion"/>
  </si>
  <si>
    <t>24.P优先股股息率</t>
    <phoneticPr fontId="1" type="noConversion"/>
  </si>
  <si>
    <t>25普通股股息收益率</t>
    <phoneticPr fontId="1" type="noConversion"/>
  </si>
  <si>
    <t>24普通股股息率</t>
    <phoneticPr fontId="1" type="noConversion"/>
  </si>
  <si>
    <t>F股息</t>
    <phoneticPr fontId="1" type="noConversion"/>
  </si>
  <si>
    <t>23过去7年每年普通股每股收益</t>
    <phoneticPr fontId="1" type="noConversion"/>
  </si>
  <si>
    <t>E趋势数据</t>
    <phoneticPr fontId="1" type="noConversion"/>
  </si>
  <si>
    <t>22普通股每股收益与当前市价比</t>
    <phoneticPr fontId="1" type="noConversion"/>
  </si>
  <si>
    <t>21普通股每股收益</t>
    <phoneticPr fontId="1" type="noConversion"/>
  </si>
  <si>
    <t>20利息保障倍数</t>
    <phoneticPr fontId="1" type="noConversion"/>
  </si>
  <si>
    <t>D7年均值</t>
    <phoneticPr fontId="1" type="noConversion"/>
  </si>
  <si>
    <t>19.S.P总收入与优先股市值比率</t>
    <phoneticPr fontId="1" type="noConversion"/>
  </si>
  <si>
    <t>19总收入与普通股市值比率</t>
    <phoneticPr fontId="1" type="noConversion"/>
  </si>
  <si>
    <t>18.S.P优先股每股收益与市价的比率（%）</t>
    <phoneticPr fontId="1" type="noConversion"/>
  </si>
  <si>
    <t>17.S.P优先股每股收益</t>
    <phoneticPr fontId="1" type="noConversion"/>
  </si>
  <si>
    <t>18普通股每股收益与市价比率（%）</t>
    <phoneticPr fontId="1" type="noConversion"/>
  </si>
  <si>
    <t>17普通股每股收益</t>
    <phoneticPr fontId="1" type="noConversion"/>
  </si>
  <si>
    <t>16.I.P利息和优先股息保障倍数</t>
    <phoneticPr fontId="1" type="noConversion"/>
  </si>
  <si>
    <t>16利息保障倍数</t>
    <phoneticPr fontId="1" type="noConversion"/>
  </si>
  <si>
    <t>C计算</t>
    <phoneticPr fontId="1" type="noConversion"/>
  </si>
  <si>
    <t>15总资本收益率（%）（第10项与第4项的比率）</t>
    <phoneticPr fontId="1" type="noConversion"/>
  </si>
  <si>
    <t>14边际利润（第10项与第8项的比率）</t>
    <phoneticPr fontId="1" type="noConversion"/>
  </si>
  <si>
    <t>13归属普通股股东的净利润</t>
    <phoneticPr fontId="1" type="noConversion"/>
  </si>
  <si>
    <t>12应计优先股股息</t>
    <phoneticPr fontId="1" type="noConversion"/>
  </si>
  <si>
    <t>11债券利息</t>
    <phoneticPr fontId="1" type="noConversion"/>
  </si>
  <si>
    <t>10息前利润</t>
    <phoneticPr fontId="1" type="noConversion"/>
  </si>
  <si>
    <t>9折旧</t>
    <phoneticPr fontId="1" type="noConversion"/>
  </si>
  <si>
    <t>8总销售额</t>
    <phoneticPr fontId="1" type="noConversion"/>
  </si>
  <si>
    <t>B损益账户（最近年份）</t>
    <phoneticPr fontId="1" type="noConversion"/>
  </si>
  <si>
    <t>7普通股市值与总资本比率</t>
    <phoneticPr fontId="1" type="noConversion"/>
  </si>
  <si>
    <t>6优先股市值与总资本比率</t>
    <phoneticPr fontId="1" type="noConversion"/>
  </si>
  <si>
    <t>5债券与总资本比率</t>
    <phoneticPr fontId="1" type="noConversion"/>
  </si>
  <si>
    <t>4总资本</t>
    <phoneticPr fontId="1" type="noConversion"/>
  </si>
  <si>
    <t>3普通股市值（股数*市价）</t>
    <phoneticPr fontId="1" type="noConversion"/>
  </si>
  <si>
    <t>3普通股市值（股数*市价）</t>
    <phoneticPr fontId="1" type="noConversion"/>
  </si>
  <si>
    <t>2优先股市值（股数*市价）</t>
    <phoneticPr fontId="1" type="noConversion"/>
  </si>
  <si>
    <t>1债券面值</t>
    <phoneticPr fontId="1" type="noConversion"/>
  </si>
  <si>
    <t>1债券面值</t>
    <phoneticPr fontId="1" type="noConversion"/>
  </si>
  <si>
    <t>A资本结构</t>
    <phoneticPr fontId="1" type="noConversion"/>
  </si>
  <si>
    <t>现价</t>
    <phoneticPr fontId="1" type="noConversion"/>
  </si>
  <si>
    <t>22.22~34.59</t>
    <phoneticPr fontId="1" type="noConversion"/>
  </si>
  <si>
    <t>21.03~39.71</t>
    <phoneticPr fontId="1" type="noConversion"/>
  </si>
  <si>
    <t>13.80~35.20</t>
    <phoneticPr fontId="1" type="noConversion"/>
  </si>
  <si>
    <t>10.89~18.15</t>
    <phoneticPr fontId="1" type="noConversion"/>
  </si>
  <si>
    <t>7.89~15.57</t>
    <phoneticPr fontId="1" type="noConversion"/>
  </si>
  <si>
    <t>股价区间</t>
    <phoneticPr fontId="1" type="noConversion"/>
  </si>
  <si>
    <t>股价区间</t>
    <phoneticPr fontId="1" type="noConversion"/>
  </si>
  <si>
    <t>股息</t>
    <phoneticPr fontId="1" type="noConversion"/>
  </si>
  <si>
    <t>每股收益</t>
    <phoneticPr fontId="1" type="noConversion"/>
  </si>
  <si>
    <t>年份</t>
    <phoneticPr fontId="1" type="noConversion"/>
  </si>
  <si>
    <t>店面销售额</t>
    <phoneticPr fontId="1" type="noConversion"/>
  </si>
  <si>
    <t>运营店面数</t>
    <phoneticPr fontId="1" type="noConversion"/>
  </si>
  <si>
    <t>2杂项</t>
    <phoneticPr fontId="1" type="noConversion"/>
  </si>
  <si>
    <t>单位普通股价值</t>
    <phoneticPr fontId="1" type="noConversion"/>
  </si>
  <si>
    <t>单位总资本</t>
    <phoneticPr fontId="1" type="noConversion"/>
  </si>
  <si>
    <t>单位利润</t>
    <phoneticPr fontId="1" type="noConversion"/>
  </si>
  <si>
    <t>单位成本</t>
    <phoneticPr fontId="1" type="noConversion"/>
  </si>
  <si>
    <t>单位收入</t>
    <phoneticPr fontId="1" type="noConversion"/>
  </si>
  <si>
    <t>产量</t>
    <phoneticPr fontId="1" type="noConversion"/>
  </si>
  <si>
    <t>1实物产出</t>
    <phoneticPr fontId="1" type="noConversion"/>
  </si>
  <si>
    <t>H补充数据（如可获取时）</t>
    <phoneticPr fontId="1" type="noConversion"/>
  </si>
  <si>
    <t>38每股有形资产净值（减全部前期债务）</t>
    <phoneticPr fontId="1" type="noConversion"/>
  </si>
  <si>
    <t>37普通股每股净流动资产（减全部前期债务）</t>
    <phoneticPr fontId="1" type="noConversion"/>
  </si>
  <si>
    <t>0.39（送股后0.28）</t>
    <phoneticPr fontId="1" type="noConversion"/>
  </si>
  <si>
    <t>31.23~58.29</t>
    <phoneticPr fontId="1" type="noConversion"/>
  </si>
  <si>
    <t>28.99~62.81</t>
    <phoneticPr fontId="1" type="noConversion"/>
  </si>
  <si>
    <t>25.16~76.44</t>
    <phoneticPr fontId="1" type="noConversion"/>
  </si>
  <si>
    <t>10.19~56.21</t>
    <phoneticPr fontId="1" type="noConversion"/>
  </si>
  <si>
    <t>最低价</t>
    <phoneticPr fontId="1" type="noConversion"/>
  </si>
  <si>
    <t>最高价</t>
    <phoneticPr fontId="1" type="noConversion"/>
  </si>
  <si>
    <t>每股股息与股价的比率</t>
    <phoneticPr fontId="1" type="noConversion"/>
  </si>
  <si>
    <t>每股收益与股价的比率</t>
    <phoneticPr fontId="1" type="noConversion"/>
  </si>
  <si>
    <t>收盘价</t>
    <phoneticPr fontId="1" type="noConversion"/>
  </si>
  <si>
    <t>宁波精达(603088) 财务指标</t>
  </si>
  <si>
    <t>25.P优先股股息收益率</t>
    <phoneticPr fontId="1" type="noConversion"/>
  </si>
  <si>
    <t>E趋势数据</t>
    <phoneticPr fontId="1" type="noConversion"/>
  </si>
  <si>
    <t>5债券与总资本比率</t>
    <phoneticPr fontId="1" type="noConversion"/>
  </si>
  <si>
    <t>4总资本</t>
    <phoneticPr fontId="1" type="noConversion"/>
  </si>
  <si>
    <t>3普通股市值（股市*市价）</t>
    <phoneticPr fontId="1" type="noConversion"/>
  </si>
  <si>
    <t>13归属普通股股东的净利润</t>
    <phoneticPr fontId="1" type="noConversion"/>
  </si>
  <si>
    <t>35资本总额的有形资产净值</t>
    <phoneticPr fontId="1" type="noConversion"/>
  </si>
  <si>
    <t>中颖电子</t>
    <phoneticPr fontId="1" type="noConversion"/>
  </si>
  <si>
    <t>全志科技（2017）</t>
    <phoneticPr fontId="1" type="noConversion"/>
  </si>
  <si>
    <t>领取薪酬员工总人数</t>
    <phoneticPr fontId="1" type="noConversion"/>
  </si>
  <si>
    <t>研发人员数量</t>
    <phoneticPr fontId="1" type="noConversion"/>
  </si>
  <si>
    <t>扣非净利润</t>
    <phoneticPr fontId="1" type="noConversion"/>
  </si>
  <si>
    <t>净利润</t>
    <phoneticPr fontId="1" type="noConversion"/>
  </si>
  <si>
    <t>营业利润</t>
    <phoneticPr fontId="1" type="noConversion"/>
  </si>
  <si>
    <t>营业收入</t>
    <phoneticPr fontId="1" type="noConversion"/>
  </si>
  <si>
    <t>管理费用</t>
    <phoneticPr fontId="1" type="noConversion"/>
  </si>
  <si>
    <t>销售费用</t>
    <phoneticPr fontId="1" type="noConversion"/>
  </si>
  <si>
    <t>财务费用</t>
    <phoneticPr fontId="1" type="noConversion"/>
  </si>
  <si>
    <t>资产减值</t>
    <phoneticPr fontId="1" type="noConversion"/>
  </si>
  <si>
    <t>年份(万)</t>
    <phoneticPr fontId="1" type="noConversion"/>
  </si>
  <si>
    <t>23.33~45.76</t>
    <phoneticPr fontId="1" type="noConversion"/>
  </si>
  <si>
    <t>22.74~30.12</t>
    <phoneticPr fontId="1" type="noConversion"/>
  </si>
  <si>
    <t>10派10</t>
    <phoneticPr fontId="1" type="noConversion"/>
  </si>
  <si>
    <t>45.48~60.24</t>
    <phoneticPr fontId="1" type="noConversion"/>
  </si>
  <si>
    <t>31.28~60.07</t>
    <phoneticPr fontId="1" type="noConversion"/>
  </si>
  <si>
    <t>7.57~67.15</t>
    <phoneticPr fontId="1" type="noConversion"/>
  </si>
  <si>
    <t>--</t>
    <phoneticPr fontId="1" type="noConversion"/>
  </si>
  <si>
    <t>现价</t>
    <phoneticPr fontId="1" type="noConversion"/>
  </si>
  <si>
    <t>应收款计提占应收款总额的百分比</t>
    <phoneticPr fontId="1" type="noConversion"/>
  </si>
  <si>
    <t>其他应收款计提准备</t>
    <phoneticPr fontId="1" type="noConversion"/>
  </si>
  <si>
    <t>应收款计提准备</t>
    <phoneticPr fontId="1" type="noConversion"/>
  </si>
  <si>
    <t>增长百分比</t>
    <phoneticPr fontId="1" type="noConversion"/>
  </si>
  <si>
    <t>营业成本</t>
    <phoneticPr fontId="1" type="noConversion"/>
  </si>
  <si>
    <t>(预测)2019</t>
    <phoneticPr fontId="1" type="noConversion"/>
  </si>
  <si>
    <t>(预测)2018</t>
    <phoneticPr fontId="1" type="noConversion"/>
  </si>
  <si>
    <t>32流动资产域流动负债比率</t>
    <phoneticPr fontId="1" type="noConversion"/>
  </si>
  <si>
    <t>光迅科技</t>
    <phoneticPr fontId="1" type="noConversion"/>
  </si>
  <si>
    <t>紫光国芯</t>
    <phoneticPr fontId="1" type="noConversion"/>
  </si>
  <si>
    <t>欧比特</t>
    <phoneticPr fontId="1" type="noConversion"/>
  </si>
  <si>
    <t>全志科技</t>
    <phoneticPr fontId="1" type="noConversion"/>
  </si>
  <si>
    <t>时间</t>
    <phoneticPr fontId="1" type="noConversion"/>
  </si>
  <si>
    <t>每股收益</t>
    <phoneticPr fontId="1" type="noConversion"/>
  </si>
  <si>
    <t>股价区间</t>
    <phoneticPr fontId="1" type="noConversion"/>
  </si>
  <si>
    <t>2.58~7.38</t>
    <phoneticPr fontId="1" type="noConversion"/>
  </si>
  <si>
    <t>3.87~10.63</t>
    <phoneticPr fontId="1" type="noConversion"/>
  </si>
  <si>
    <t>4.24~7.47</t>
    <phoneticPr fontId="1" type="noConversion"/>
  </si>
  <si>
    <t>7.06~13.39</t>
    <phoneticPr fontId="1" type="noConversion"/>
  </si>
  <si>
    <t>7.4~16.16</t>
    <phoneticPr fontId="1" type="noConversion"/>
  </si>
  <si>
    <t>15.08~37.96</t>
    <phoneticPr fontId="1" type="noConversion"/>
  </si>
  <si>
    <t>16.82~24.68</t>
    <phoneticPr fontId="1" type="noConversion"/>
  </si>
  <si>
    <t>15.11~21.26</t>
    <phoneticPr fontId="1" type="noConversion"/>
  </si>
  <si>
    <t>达实智能</t>
    <phoneticPr fontId="1" type="noConversion"/>
  </si>
  <si>
    <t>1.06~2.14</t>
    <phoneticPr fontId="1" type="noConversion"/>
  </si>
  <si>
    <t>1.74~2.85</t>
    <phoneticPr fontId="1" type="noConversion"/>
  </si>
  <si>
    <t>2.17~4.23</t>
    <phoneticPr fontId="1" type="noConversion"/>
  </si>
  <si>
    <t>2.44~5.10</t>
    <phoneticPr fontId="1" type="noConversion"/>
  </si>
  <si>
    <t>3.81~12.43</t>
    <phoneticPr fontId="1" type="noConversion"/>
  </si>
  <si>
    <t>3.96~8.70</t>
    <phoneticPr fontId="1" type="noConversion"/>
  </si>
  <si>
    <t>5.21~7.45</t>
    <phoneticPr fontId="1" type="noConversion"/>
  </si>
  <si>
    <t>净利润</t>
    <phoneticPr fontId="1" type="noConversion"/>
  </si>
  <si>
    <t>当期股本</t>
    <phoneticPr fontId="1" type="noConversion"/>
  </si>
  <si>
    <t>调整每股收益（以当期总股本）</t>
    <phoneticPr fontId="1" type="noConversion"/>
  </si>
  <si>
    <t>翅片高速精密压力机</t>
    <phoneticPr fontId="1" type="noConversion"/>
  </si>
  <si>
    <t>微通道换热器</t>
    <phoneticPr fontId="1" type="noConversion"/>
  </si>
  <si>
    <t>粤传媒</t>
    <phoneticPr fontId="1" type="noConversion"/>
  </si>
  <si>
    <t>流动比率</t>
    <phoneticPr fontId="1" type="noConversion"/>
  </si>
  <si>
    <t>调整净利润</t>
    <phoneticPr fontId="1" type="noConversion"/>
  </si>
  <si>
    <t>其他应收款计提坏账装备</t>
    <phoneticPr fontId="1" type="noConversion"/>
  </si>
  <si>
    <t>应收账款计提坏账准备</t>
    <phoneticPr fontId="1" type="noConversion"/>
  </si>
  <si>
    <t>存货跌价准备</t>
    <phoneticPr fontId="1" type="noConversion"/>
  </si>
  <si>
    <t>可供出售金融资产减值准备</t>
    <phoneticPr fontId="1" type="noConversion"/>
  </si>
  <si>
    <t>投资性房地产折旧和摊销</t>
    <phoneticPr fontId="1" type="noConversion"/>
  </si>
  <si>
    <t>固定资产折旧</t>
    <phoneticPr fontId="1" type="noConversion"/>
  </si>
  <si>
    <t>固定资产减值</t>
    <phoneticPr fontId="1" type="noConversion"/>
  </si>
  <si>
    <t>闲置固定资产折旧</t>
    <phoneticPr fontId="1" type="noConversion"/>
  </si>
  <si>
    <t>闲置固定资产减值</t>
    <phoneticPr fontId="1" type="noConversion"/>
  </si>
  <si>
    <t>无形资产摊销</t>
    <phoneticPr fontId="1" type="noConversion"/>
  </si>
  <si>
    <t>3.29~9.85</t>
    <phoneticPr fontId="1" type="noConversion"/>
  </si>
  <si>
    <t>4.77~10.60</t>
    <phoneticPr fontId="1" type="noConversion"/>
  </si>
  <si>
    <t>5.23~9.41</t>
    <phoneticPr fontId="1" type="noConversion"/>
  </si>
  <si>
    <t>4.31~8.30</t>
    <phoneticPr fontId="1" type="noConversion"/>
  </si>
  <si>
    <t>3.74~7.61</t>
    <phoneticPr fontId="1" type="noConversion"/>
  </si>
  <si>
    <t>5.36~11.71</t>
    <phoneticPr fontId="1" type="noConversion"/>
  </si>
  <si>
    <t>6.36~14.25</t>
    <phoneticPr fontId="1" type="noConversion"/>
  </si>
  <si>
    <t>7~23.46</t>
    <phoneticPr fontId="1" type="noConversion"/>
  </si>
  <si>
    <t>7.52~15.72</t>
    <phoneticPr fontId="1" type="noConversion"/>
  </si>
  <si>
    <t>4.63~7.93</t>
    <phoneticPr fontId="1" type="noConversion"/>
  </si>
  <si>
    <t>G资产负债表</t>
  </si>
  <si>
    <t>26现金</t>
  </si>
  <si>
    <t>27应收账款（扣除减值准备）</t>
  </si>
  <si>
    <t>28存货（扣除减值准备）</t>
  </si>
  <si>
    <t>29总流动资产</t>
  </si>
  <si>
    <t>30总流动负债</t>
  </si>
  <si>
    <t>30.N应付票据（含银行贷款和应付票据）</t>
  </si>
  <si>
    <t>31净流动资产</t>
  </si>
  <si>
    <t>32流动资产与流动负债比率</t>
  </si>
  <si>
    <t>33存货与销售额比率</t>
  </si>
  <si>
    <t>34应收账款与销售额的比率</t>
  </si>
  <si>
    <t>35资本总额的有形资产净值</t>
  </si>
  <si>
    <t>36普通股每股现金资产（减全部前期债务）</t>
  </si>
  <si>
    <t>37普通股每股净流动资产（减全部前期债务）</t>
  </si>
  <si>
    <t>38每股有形资产净值（减全部前期债务）</t>
  </si>
  <si>
    <t>投资收益</t>
    <phoneticPr fontId="1" type="noConversion"/>
  </si>
  <si>
    <t>报刊</t>
    <phoneticPr fontId="1" type="noConversion"/>
  </si>
  <si>
    <t>商业印刷</t>
    <phoneticPr fontId="1" type="noConversion"/>
  </si>
  <si>
    <t>康达新材</t>
    <phoneticPr fontId="1" type="noConversion"/>
  </si>
  <si>
    <t>营业利润</t>
    <phoneticPr fontId="1" type="noConversion"/>
  </si>
  <si>
    <t>调整每股收益</t>
    <phoneticPr fontId="1" type="noConversion"/>
  </si>
  <si>
    <t>最近的股本</t>
    <phoneticPr fontId="1" type="noConversion"/>
  </si>
  <si>
    <t>5年平均</t>
    <phoneticPr fontId="1" type="noConversion"/>
  </si>
  <si>
    <t>每股收益率</t>
    <phoneticPr fontId="1" type="noConversion"/>
  </si>
  <si>
    <t>扣除非常损益净利润</t>
    <phoneticPr fontId="1" type="noConversion"/>
  </si>
  <si>
    <t>8年平均</t>
    <phoneticPr fontId="1" type="noConversion"/>
  </si>
  <si>
    <t>每股收益率</t>
    <phoneticPr fontId="1" type="noConversion"/>
  </si>
  <si>
    <t>当期股价</t>
    <phoneticPr fontId="1" type="noConversion"/>
  </si>
  <si>
    <t>分红金额</t>
    <phoneticPr fontId="1" type="noConversion"/>
  </si>
  <si>
    <t>每股派息</t>
    <phoneticPr fontId="1" type="noConversion"/>
  </si>
  <si>
    <t>每股股息率</t>
    <phoneticPr fontId="1" type="noConversion"/>
  </si>
  <si>
    <t>营业成本增长</t>
    <phoneticPr fontId="1" type="noConversion"/>
  </si>
  <si>
    <t>营业总成本增长</t>
    <phoneticPr fontId="1" type="noConversion"/>
  </si>
  <si>
    <t>应收账款坏账计提</t>
    <phoneticPr fontId="1" type="noConversion"/>
  </si>
  <si>
    <t>其他应收账款计提</t>
    <phoneticPr fontId="1" type="noConversion"/>
  </si>
  <si>
    <t>存货跌价准备</t>
    <phoneticPr fontId="1" type="noConversion"/>
  </si>
  <si>
    <t>无形资产摊销占比</t>
    <phoneticPr fontId="1" type="noConversion"/>
  </si>
  <si>
    <t>商誉</t>
    <phoneticPr fontId="1" type="noConversion"/>
  </si>
  <si>
    <t>标红表示存在财务风险</t>
    <phoneticPr fontId="1" type="noConversion"/>
  </si>
  <si>
    <t>金融软件</t>
    <phoneticPr fontId="1" type="noConversion"/>
  </si>
  <si>
    <t>金融专用设备</t>
    <phoneticPr fontId="1" type="noConversion"/>
  </si>
  <si>
    <t>短彩信通讯</t>
    <phoneticPr fontId="1" type="noConversion"/>
  </si>
  <si>
    <t>移动流量</t>
    <phoneticPr fontId="1" type="noConversion"/>
  </si>
  <si>
    <t>移动互联网应用</t>
    <phoneticPr fontId="1" type="noConversion"/>
  </si>
  <si>
    <t>电子商务</t>
    <phoneticPr fontId="1" type="noConversion"/>
  </si>
  <si>
    <t>7年平均</t>
    <phoneticPr fontId="1" type="noConversion"/>
  </si>
  <si>
    <t>每股盈利</t>
    <phoneticPr fontId="1" type="noConversion"/>
  </si>
  <si>
    <t>三年平均</t>
    <phoneticPr fontId="1" type="noConversion"/>
  </si>
  <si>
    <t>乘数</t>
    <phoneticPr fontId="1" type="noConversion"/>
  </si>
  <si>
    <t>每股资产化</t>
    <phoneticPr fontId="1" type="noConversion"/>
  </si>
  <si>
    <t>内在价值确定的大概价格</t>
    <phoneticPr fontId="1" type="noConversion"/>
  </si>
  <si>
    <t>I比率分析</t>
    <phoneticPr fontId="1" type="noConversion"/>
  </si>
  <si>
    <t>(a)销售利润率（销售利润除以销售收入总额）</t>
    <phoneticPr fontId="1" type="noConversion"/>
  </si>
  <si>
    <t>(b)投资收益率（利润总额除以债券、优先股、普通股和已获盈余的总和）</t>
    <phoneticPr fontId="1" type="noConversion"/>
  </si>
  <si>
    <t>(c)利息费用保障倍数（利润总额除以利息费用）</t>
    <phoneticPr fontId="1" type="noConversion"/>
  </si>
  <si>
    <t>(d)利息费用和优先股息总和的保障倍数（利润总额除以利息费用和优先股息的和）</t>
    <phoneticPr fontId="1" type="noConversion"/>
  </si>
  <si>
    <t>(e)普通股每股收益（净利润除以普通股股本总额）</t>
    <phoneticPr fontId="1" type="noConversion"/>
  </si>
  <si>
    <t>(f)从厂场设备成本提取折旧的百分比（折旧除以设备成本）</t>
    <phoneticPr fontId="1" type="noConversion"/>
  </si>
  <si>
    <t>(g)从销售收入总额或收入总额中提取折旧的百分比</t>
    <phoneticPr fontId="1" type="noConversion"/>
  </si>
  <si>
    <t>(h)结转到盈余中的净利润占可用于股息支付的净利润的百分比</t>
    <phoneticPr fontId="1" type="noConversion"/>
  </si>
  <si>
    <t>(i)存货周转率（销售收入总额除以存货）</t>
    <phoneticPr fontId="1" type="noConversion"/>
  </si>
  <si>
    <t>(j)未收回的应收账款的平均续存天数（应收款和票据除以每天的销售收入净额）</t>
    <phoneticPr fontId="1" type="noConversion"/>
  </si>
  <si>
    <t>(k)资本化比率</t>
    <phoneticPr fontId="1" type="noConversion"/>
  </si>
  <si>
    <t>k.1)债券资本化（发行在外的债券总额除以债券、优先股、普通股和盈余的总和)</t>
    <phoneticPr fontId="1" type="noConversion"/>
  </si>
  <si>
    <t>k.2)优先股资本化</t>
    <phoneticPr fontId="1" type="noConversion"/>
  </si>
  <si>
    <t>k.3)普通股和盈余资本化</t>
    <phoneticPr fontId="1" type="noConversion"/>
  </si>
  <si>
    <t>股本价值比率（采用市场价值计算上述比率)</t>
    <phoneticPr fontId="1" type="noConversion"/>
  </si>
  <si>
    <t>(i)流动比率(流动资产除以流动负债)</t>
    <phoneticPr fontId="1" type="noConversion"/>
  </si>
  <si>
    <t>(m)快速流动资产比率(流动资产减去存货除以流动负债)</t>
    <phoneticPr fontId="1" type="noConversion"/>
  </si>
  <si>
    <t>(n)普通股的账面价值(普通股和盈余的总值除以普通股股本总额)</t>
    <phoneticPr fontId="1" type="noConversion"/>
  </si>
  <si>
    <t>(o)市盈率或股票市价比率（股票售价除以每股收益)</t>
    <phoneticPr fontId="1" type="noConversion"/>
  </si>
  <si>
    <t>研发费用占销售收入总额</t>
    <phoneticPr fontId="1" type="noConversion"/>
  </si>
  <si>
    <t>交上期增长</t>
    <phoneticPr fontId="1" type="noConversion"/>
  </si>
  <si>
    <t>增长趋势滞涨(原募集资金扩产项目延期)</t>
    <phoneticPr fontId="1" type="noConversion"/>
  </si>
  <si>
    <t>http://static.sse.com.cn/disclosure/listedinfo/announcement/c/2018-08-06/603590_20180806_2.pdf</t>
    <phoneticPr fontId="1" type="noConversion"/>
  </si>
  <si>
    <t>志邦家居</t>
    <phoneticPr fontId="1" type="noConversion"/>
  </si>
  <si>
    <t>备注</t>
    <phoneticPr fontId="1" type="noConversion"/>
  </si>
  <si>
    <t xml:space="preserve">该公司18年底财务可能发生较大变化，来自于新合并的公司 ZBOM Singapore Pte.Ltd.、ZBOM AUSTRALIA PTY LTD 安徽昱志晟邦股权投资有限公司
</t>
    <phoneticPr fontId="1" type="noConversion"/>
  </si>
  <si>
    <t>欧派家居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</si>
</sst>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_);[Red]\(0.00\)"/>
    <numFmt numFmtId="177" formatCode="0.00_ "/>
    <numFmt numFmtId="178" formatCode="0.0000_ "/>
    <numFmt numFmtId="179" formatCode="0.000_ "/>
  </numFmts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5" tint="0.39997558519241921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1"/>
      <name val="Arial"/>
      <family val="2"/>
    </font>
    <font>
      <b/>
      <sz val="10"/>
      <color rgb="FFFF000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38">
    <xf numFmtId="0" fontId="0" fillId="0" borderId="0" xfId="0"/>
    <xf numFmtId="0" fontId="2" fillId="0" borderId="0" xfId="0" applyFont="1"/>
    <xf numFmtId="10" fontId="0" fillId="0" borderId="0" xfId="0" applyNumberFormat="1"/>
    <xf numFmtId="0" fontId="3" fillId="0" borderId="0" xfId="0" applyFont="1"/>
    <xf numFmtId="0" fontId="4" fillId="2" borderId="0" xfId="0" applyFont="1" applyFill="1"/>
    <xf numFmtId="0" fontId="4" fillId="0" borderId="0" xfId="0" applyFont="1"/>
    <xf numFmtId="9" fontId="0" fillId="0" borderId="0" xfId="0" applyNumberFormat="1"/>
    <xf numFmtId="0" fontId="2" fillId="0" borderId="0" xfId="0" applyFont="1" applyAlignment="1">
      <alignment vertical="center"/>
    </xf>
    <xf numFmtId="176" fontId="0" fillId="0" borderId="0" xfId="0" applyNumberFormat="1"/>
    <xf numFmtId="0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quotePrefix="1"/>
    <xf numFmtId="14" fontId="0" fillId="0" borderId="0" xfId="0" applyNumberFormat="1" applyAlignment="1">
      <alignment vertical="center" wrapText="1"/>
    </xf>
    <xf numFmtId="0" fontId="5" fillId="0" borderId="0" xfId="0" applyFont="1"/>
    <xf numFmtId="4" fontId="0" fillId="0" borderId="0" xfId="0" applyNumberFormat="1"/>
    <xf numFmtId="4" fontId="5" fillId="0" borderId="0" xfId="0" applyNumberFormat="1" applyFont="1"/>
    <xf numFmtId="3" fontId="5" fillId="0" borderId="0" xfId="0" applyNumberFormat="1" applyFont="1"/>
    <xf numFmtId="0" fontId="6" fillId="0" borderId="0" xfId="0" applyFont="1" applyAlignment="1">
      <alignment vertical="center"/>
    </xf>
    <xf numFmtId="10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4" fontId="7" fillId="0" borderId="0" xfId="0" applyNumberFormat="1" applyFont="1" applyAlignment="1">
      <alignment vertical="center"/>
    </xf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9" fontId="7" fillId="0" borderId="0" xfId="0" applyNumberFormat="1" applyFont="1" applyAlignment="1">
      <alignment vertical="center"/>
    </xf>
    <xf numFmtId="177" fontId="2" fillId="0" borderId="0" xfId="0" applyNumberFormat="1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10" fontId="5" fillId="0" borderId="0" xfId="0" applyNumberFormat="1" applyFont="1"/>
    <xf numFmtId="0" fontId="8" fillId="0" borderId="0" xfId="0" applyFont="1"/>
    <xf numFmtId="177" fontId="5" fillId="0" borderId="0" xfId="0" applyNumberFormat="1" applyFont="1"/>
    <xf numFmtId="0" fontId="9" fillId="0" borderId="0" xfId="1"/>
    <xf numFmtId="0" fontId="5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常规" xfId="0" builtinId="0"/>
    <cellStyle name="超链接" xfId="1" builtinId="8"/>
  </cellStyles>
  <dxfs count="1">
    <dxf>
      <fill>
        <patternFill patternType="solid">
          <fgColor auto="1"/>
          <bgColor indexed="65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647700</xdr:colOff>
      <xdr:row>82</xdr:row>
      <xdr:rowOff>142875</xdr:rowOff>
    </xdr:from>
    <xdr:ext cx="7285715" cy="4866667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0" y="14201775"/>
          <a:ext cx="7285715" cy="4866667"/>
        </a:xfrm>
        <a:prstGeom prst="rect">
          <a:avLst/>
        </a:prstGeom>
      </xdr:spPr>
    </xdr:pic>
    <xdr:clientData/>
  </xdr:oneCellAnchor>
  <xdr:oneCellAnchor>
    <xdr:from>
      <xdr:col>12</xdr:col>
      <xdr:colOff>228600</xdr:colOff>
      <xdr:row>111</xdr:row>
      <xdr:rowOff>9525</xdr:rowOff>
    </xdr:from>
    <xdr:ext cx="7809524" cy="2571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8200" y="19040475"/>
          <a:ext cx="7809524" cy="2571429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105</xdr:row>
      <xdr:rowOff>152400</xdr:rowOff>
    </xdr:from>
    <xdr:ext cx="7438096" cy="1952381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8154650"/>
          <a:ext cx="7438096" cy="1952381"/>
        </a:xfrm>
        <a:prstGeom prst="rect">
          <a:avLst/>
        </a:prstGeom>
      </xdr:spPr>
    </xdr:pic>
    <xdr:clientData/>
  </xdr:oneCellAnchor>
  <xdr:oneCellAnchor>
    <xdr:from>
      <xdr:col>1</xdr:col>
      <xdr:colOff>200025</xdr:colOff>
      <xdr:row>100</xdr:row>
      <xdr:rowOff>133350</xdr:rowOff>
    </xdr:from>
    <xdr:ext cx="7247620" cy="1219048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17278350"/>
          <a:ext cx="7247620" cy="1219048"/>
        </a:xfrm>
        <a:prstGeom prst="rect">
          <a:avLst/>
        </a:prstGeom>
      </xdr:spPr>
    </xdr:pic>
    <xdr:clientData/>
  </xdr:oneCellAnchor>
  <xdr:oneCellAnchor>
    <xdr:from>
      <xdr:col>1</xdr:col>
      <xdr:colOff>171450</xdr:colOff>
      <xdr:row>116</xdr:row>
      <xdr:rowOff>161925</xdr:rowOff>
    </xdr:from>
    <xdr:ext cx="7114286" cy="390476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0050125"/>
          <a:ext cx="7114286" cy="390476"/>
        </a:xfrm>
        <a:prstGeom prst="rect">
          <a:avLst/>
        </a:prstGeom>
      </xdr:spPr>
    </xdr:pic>
    <xdr:clientData/>
  </xdr:oneCellAnchor>
  <xdr:oneCellAnchor>
    <xdr:from>
      <xdr:col>1</xdr:col>
      <xdr:colOff>152400</xdr:colOff>
      <xdr:row>107</xdr:row>
      <xdr:rowOff>104775</xdr:rowOff>
    </xdr:from>
    <xdr:ext cx="7038096" cy="24761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18449925"/>
          <a:ext cx="7038096" cy="247619"/>
        </a:xfrm>
        <a:prstGeom prst="rect">
          <a:avLst/>
        </a:prstGeom>
      </xdr:spPr>
    </xdr:pic>
    <xdr:clientData/>
  </xdr:oneCellAnchor>
  <xdr:oneCellAnchor>
    <xdr:from>
      <xdr:col>0</xdr:col>
      <xdr:colOff>2990850</xdr:colOff>
      <xdr:row>119</xdr:row>
      <xdr:rowOff>85725</xdr:rowOff>
    </xdr:from>
    <xdr:ext cx="7876191" cy="1028571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488275"/>
          <a:ext cx="7876191" cy="1028571"/>
        </a:xfrm>
        <a:prstGeom prst="rect">
          <a:avLst/>
        </a:prstGeom>
      </xdr:spPr>
    </xdr:pic>
    <xdr:clientData/>
  </xdr:oneCellAnchor>
  <xdr:oneCellAnchor>
    <xdr:from>
      <xdr:col>3</xdr:col>
      <xdr:colOff>152400</xdr:colOff>
      <xdr:row>125</xdr:row>
      <xdr:rowOff>142875</xdr:rowOff>
    </xdr:from>
    <xdr:ext cx="5047619" cy="323810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0" y="21574125"/>
          <a:ext cx="5047619" cy="323810"/>
        </a:xfrm>
        <a:prstGeom prst="rect">
          <a:avLst/>
        </a:prstGeom>
      </xdr:spPr>
    </xdr:pic>
    <xdr:clientData/>
  </xdr:oneCellAnchor>
  <xdr:oneCellAnchor>
    <xdr:from>
      <xdr:col>12</xdr:col>
      <xdr:colOff>57150</xdr:colOff>
      <xdr:row>125</xdr:row>
      <xdr:rowOff>161925</xdr:rowOff>
    </xdr:from>
    <xdr:ext cx="7933334" cy="2600000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0" y="21593175"/>
          <a:ext cx="7933334" cy="2600000"/>
        </a:xfrm>
        <a:prstGeom prst="rect">
          <a:avLst/>
        </a:prstGeom>
      </xdr:spPr>
    </xdr:pic>
    <xdr:clientData/>
  </xdr:oneCellAnchor>
  <xdr:oneCellAnchor>
    <xdr:from>
      <xdr:col>23</xdr:col>
      <xdr:colOff>638175</xdr:colOff>
      <xdr:row>125</xdr:row>
      <xdr:rowOff>76200</xdr:rowOff>
    </xdr:from>
    <xdr:ext cx="7714286" cy="2847619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11575" y="21507450"/>
          <a:ext cx="7714286" cy="2847619"/>
        </a:xfrm>
        <a:prstGeom prst="rect">
          <a:avLst/>
        </a:prstGeom>
      </xdr:spPr>
    </xdr:pic>
    <xdr:clientData/>
  </xdr:oneCellAnchor>
  <xdr:oneCellAnchor>
    <xdr:from>
      <xdr:col>12</xdr:col>
      <xdr:colOff>276225</xdr:colOff>
      <xdr:row>140</xdr:row>
      <xdr:rowOff>28575</xdr:rowOff>
    </xdr:from>
    <xdr:ext cx="7600001" cy="1161905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05825" y="24031575"/>
          <a:ext cx="7600001" cy="1161905"/>
        </a:xfrm>
        <a:prstGeom prst="rect">
          <a:avLst/>
        </a:prstGeom>
      </xdr:spPr>
    </xdr:pic>
    <xdr:clientData/>
  </xdr:oneCellAnchor>
  <xdr:oneCellAnchor>
    <xdr:from>
      <xdr:col>23</xdr:col>
      <xdr:colOff>676275</xdr:colOff>
      <xdr:row>142</xdr:row>
      <xdr:rowOff>19050</xdr:rowOff>
    </xdr:from>
    <xdr:ext cx="7219048" cy="1838095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49675" y="24364950"/>
          <a:ext cx="7219048" cy="1838095"/>
        </a:xfrm>
        <a:prstGeom prst="rect">
          <a:avLst/>
        </a:prstGeom>
      </xdr:spPr>
    </xdr:pic>
    <xdr:clientData/>
  </xdr:oneCellAnchor>
  <xdr:oneCellAnchor>
    <xdr:from>
      <xdr:col>3</xdr:col>
      <xdr:colOff>381000</xdr:colOff>
      <xdr:row>129</xdr:row>
      <xdr:rowOff>161925</xdr:rowOff>
    </xdr:from>
    <xdr:ext cx="3780953" cy="238095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22278975"/>
          <a:ext cx="3780953" cy="238095"/>
        </a:xfrm>
        <a:prstGeom prst="rect">
          <a:avLst/>
        </a:prstGeom>
      </xdr:spPr>
    </xdr:pic>
    <xdr:clientData/>
  </xdr:oneCellAnchor>
  <xdr:oneCellAnchor>
    <xdr:from>
      <xdr:col>23</xdr:col>
      <xdr:colOff>676275</xdr:colOff>
      <xdr:row>152</xdr:row>
      <xdr:rowOff>123825</xdr:rowOff>
    </xdr:from>
    <xdr:ext cx="7809524" cy="93333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449675" y="26184225"/>
          <a:ext cx="7809524" cy="933333"/>
        </a:xfrm>
        <a:prstGeom prst="rect">
          <a:avLst/>
        </a:prstGeom>
      </xdr:spPr>
    </xdr:pic>
    <xdr:clientData/>
  </xdr:oneCellAnchor>
  <xdr:oneCellAnchor>
    <xdr:from>
      <xdr:col>12</xdr:col>
      <xdr:colOff>228600</xdr:colOff>
      <xdr:row>146</xdr:row>
      <xdr:rowOff>123825</xdr:rowOff>
    </xdr:from>
    <xdr:ext cx="7914286" cy="1561905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58200" y="25155525"/>
          <a:ext cx="7914286" cy="1561905"/>
        </a:xfrm>
        <a:prstGeom prst="rect">
          <a:avLst/>
        </a:prstGeom>
      </xdr:spPr>
    </xdr:pic>
    <xdr:clientData/>
  </xdr:oneCellAnchor>
  <xdr:oneCellAnchor>
    <xdr:from>
      <xdr:col>2</xdr:col>
      <xdr:colOff>323850</xdr:colOff>
      <xdr:row>133</xdr:row>
      <xdr:rowOff>9525</xdr:rowOff>
    </xdr:from>
    <xdr:ext cx="4961905" cy="314286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95450" y="22812375"/>
          <a:ext cx="4961905" cy="314286"/>
        </a:xfrm>
        <a:prstGeom prst="rect">
          <a:avLst/>
        </a:prstGeom>
      </xdr:spPr>
    </xdr:pic>
    <xdr:clientData/>
  </xdr:oneCellAnchor>
  <xdr:oneCellAnchor>
    <xdr:from>
      <xdr:col>12</xdr:col>
      <xdr:colOff>161925</xdr:colOff>
      <xdr:row>155</xdr:row>
      <xdr:rowOff>104775</xdr:rowOff>
    </xdr:from>
    <xdr:ext cx="7476191" cy="1990476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91525" y="26679525"/>
          <a:ext cx="7476191" cy="1990476"/>
        </a:xfrm>
        <a:prstGeom prst="rect">
          <a:avLst/>
        </a:prstGeom>
      </xdr:spPr>
    </xdr:pic>
    <xdr:clientData/>
  </xdr:oneCellAnchor>
  <xdr:oneCellAnchor>
    <xdr:from>
      <xdr:col>24</xdr:col>
      <xdr:colOff>9525</xdr:colOff>
      <xdr:row>102</xdr:row>
      <xdr:rowOff>28575</xdr:rowOff>
    </xdr:from>
    <xdr:ext cx="7238096" cy="904762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68725" y="17516475"/>
          <a:ext cx="7238096" cy="904762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85</xdr:row>
      <xdr:rowOff>0</xdr:rowOff>
    </xdr:from>
    <xdr:ext cx="7257143" cy="1885714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4573250"/>
          <a:ext cx="7257143" cy="188571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7238096" cy="3609524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459200"/>
          <a:ext cx="7238096" cy="360952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6923810" cy="3200000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231100"/>
          <a:ext cx="6923810" cy="320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85</xdr:row>
      <xdr:rowOff>0</xdr:rowOff>
    </xdr:from>
    <xdr:ext cx="7228572" cy="5057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0" y="14573250"/>
          <a:ext cx="7228572" cy="5057143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113</xdr:row>
      <xdr:rowOff>57150</xdr:rowOff>
    </xdr:from>
    <xdr:ext cx="7247620" cy="1104762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19431000"/>
          <a:ext cx="7247620" cy="1104762"/>
        </a:xfrm>
        <a:prstGeom prst="rect">
          <a:avLst/>
        </a:prstGeom>
      </xdr:spPr>
    </xdr:pic>
    <xdr:clientData/>
  </xdr:oneCellAnchor>
  <xdr:oneCellAnchor>
    <xdr:from>
      <xdr:col>8</xdr:col>
      <xdr:colOff>428625</xdr:colOff>
      <xdr:row>120</xdr:row>
      <xdr:rowOff>0</xdr:rowOff>
    </xdr:from>
    <xdr:ext cx="7219048" cy="285714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15025" y="20574000"/>
          <a:ext cx="7219048" cy="285714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704762" cy="2228572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3831550"/>
          <a:ext cx="6704762" cy="2228572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85</xdr:row>
      <xdr:rowOff>0</xdr:rowOff>
    </xdr:from>
    <xdr:ext cx="7228572" cy="5304762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0" y="14573250"/>
          <a:ext cx="7228572" cy="530476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84</xdr:row>
      <xdr:rowOff>0</xdr:rowOff>
    </xdr:from>
    <xdr:ext cx="7247620" cy="2485714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4401800"/>
          <a:ext cx="7247620" cy="2485714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84</xdr:row>
      <xdr:rowOff>0</xdr:rowOff>
    </xdr:from>
    <xdr:ext cx="7209524" cy="3828572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4401800"/>
          <a:ext cx="7209524" cy="3828572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109</xdr:row>
      <xdr:rowOff>0</xdr:rowOff>
    </xdr:from>
    <xdr:ext cx="8590477" cy="3428572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8688050"/>
          <a:ext cx="8590477" cy="3428572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131</xdr:row>
      <xdr:rowOff>0</xdr:rowOff>
    </xdr:from>
    <xdr:ext cx="8704763" cy="336190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22459950"/>
          <a:ext cx="8704763" cy="3361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151</xdr:row>
      <xdr:rowOff>0</xdr:rowOff>
    </xdr:from>
    <xdr:ext cx="8647620" cy="3980953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25888950"/>
          <a:ext cx="8647620" cy="3980953"/>
        </a:xfrm>
        <a:prstGeom prst="rect">
          <a:avLst/>
        </a:prstGeom>
      </xdr:spPr>
    </xdr:pic>
    <xdr:clientData/>
  </xdr:oneCellAnchor>
  <xdr:oneCellAnchor>
    <xdr:from>
      <xdr:col>18</xdr:col>
      <xdr:colOff>514350</xdr:colOff>
      <xdr:row>84</xdr:row>
      <xdr:rowOff>19050</xdr:rowOff>
    </xdr:from>
    <xdr:ext cx="7857143" cy="2685714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50" y="14420850"/>
          <a:ext cx="7857143" cy="2685714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109</xdr:row>
      <xdr:rowOff>0</xdr:rowOff>
    </xdr:from>
    <xdr:ext cx="7228572" cy="2390476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01800" y="18688050"/>
          <a:ext cx="7228572" cy="2390476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131</xdr:row>
      <xdr:rowOff>0</xdr:rowOff>
    </xdr:from>
    <xdr:ext cx="7200000" cy="1180952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01800" y="22459950"/>
          <a:ext cx="7200000" cy="1180952"/>
        </a:xfrm>
        <a:prstGeom prst="rect">
          <a:avLst/>
        </a:prstGeom>
      </xdr:spPr>
    </xdr:pic>
    <xdr:clientData/>
  </xdr:oneCellAnchor>
  <xdr:oneCellAnchor>
    <xdr:from>
      <xdr:col>1</xdr:col>
      <xdr:colOff>133350</xdr:colOff>
      <xdr:row>109</xdr:row>
      <xdr:rowOff>28575</xdr:rowOff>
    </xdr:from>
    <xdr:ext cx="7209524" cy="2733334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150" y="18716625"/>
          <a:ext cx="7209524" cy="2733334"/>
        </a:xfrm>
        <a:prstGeom prst="rect">
          <a:avLst/>
        </a:prstGeom>
      </xdr:spPr>
    </xdr:pic>
    <xdr:clientData/>
  </xdr:oneCellAnchor>
  <xdr:oneCellAnchor>
    <xdr:from>
      <xdr:col>0</xdr:col>
      <xdr:colOff>2809875</xdr:colOff>
      <xdr:row>131</xdr:row>
      <xdr:rowOff>9525</xdr:rowOff>
    </xdr:from>
    <xdr:ext cx="7209524" cy="4866667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2469475"/>
          <a:ext cx="7209524" cy="486666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7247620" cy="1352381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7432000"/>
          <a:ext cx="7247620" cy="135238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7209524" cy="1857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8803600"/>
          <a:ext cx="7209524" cy="185714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static.sse.com.cn/disclosure/listedinfo/announcement/c/2018-08-06/603590_20180806_2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"/>
  <sheetViews>
    <sheetView topLeftCell="A55" workbookViewId="0">
      <selection sqref="A1:A82"/>
    </sheetView>
  </sheetViews>
  <sheetFormatPr defaultRowHeight="13.5" x14ac:dyDescent="0.15"/>
  <cols>
    <col min="1" max="1" width="43.25" customWidth="1"/>
  </cols>
  <sheetData>
    <row r="1" spans="1:6" x14ac:dyDescent="0.15">
      <c r="B1" s="1" t="s">
        <v>325</v>
      </c>
      <c r="C1" s="1" t="s">
        <v>293</v>
      </c>
      <c r="D1" s="1" t="s">
        <v>324</v>
      </c>
      <c r="E1" s="1" t="s">
        <v>323</v>
      </c>
      <c r="F1" s="1" t="s">
        <v>322</v>
      </c>
    </row>
    <row r="2" spans="1:6" x14ac:dyDescent="0.15">
      <c r="A2" s="1" t="s">
        <v>66</v>
      </c>
      <c r="B2">
        <v>20.3</v>
      </c>
      <c r="C2">
        <v>26.5</v>
      </c>
      <c r="D2">
        <v>13.26</v>
      </c>
      <c r="E2">
        <v>47.6</v>
      </c>
      <c r="F2">
        <v>25</v>
      </c>
    </row>
    <row r="3" spans="1:6" x14ac:dyDescent="0.15">
      <c r="A3" s="1" t="s">
        <v>65</v>
      </c>
    </row>
    <row r="4" spans="1:6" x14ac:dyDescent="0.15">
      <c r="A4" t="s">
        <v>64</v>
      </c>
      <c r="B4">
        <v>0</v>
      </c>
      <c r="C4">
        <v>0</v>
      </c>
      <c r="E4">
        <v>0</v>
      </c>
    </row>
    <row r="5" spans="1:6" x14ac:dyDescent="0.15">
      <c r="A5" t="s">
        <v>247</v>
      </c>
      <c r="B5">
        <v>0</v>
      </c>
      <c r="C5">
        <v>0</v>
      </c>
      <c r="E5">
        <v>0</v>
      </c>
    </row>
    <row r="6" spans="1:6" x14ac:dyDescent="0.15">
      <c r="A6" t="s">
        <v>62</v>
      </c>
      <c r="B6">
        <v>67.5</v>
      </c>
    </row>
    <row r="7" spans="1:6" x14ac:dyDescent="0.15">
      <c r="A7" t="s">
        <v>61</v>
      </c>
      <c r="B7">
        <v>20.64</v>
      </c>
      <c r="C7">
        <v>8.2799999999999994</v>
      </c>
      <c r="D7">
        <v>20.655999999999999</v>
      </c>
      <c r="E7">
        <v>35.345199999999998</v>
      </c>
      <c r="F7">
        <v>31.698799999999999</v>
      </c>
    </row>
    <row r="8" spans="1:6" x14ac:dyDescent="0.15">
      <c r="A8" t="s">
        <v>60</v>
      </c>
    </row>
    <row r="9" spans="1:6" x14ac:dyDescent="0.15">
      <c r="A9" t="s">
        <v>59</v>
      </c>
    </row>
    <row r="10" spans="1:6" x14ac:dyDescent="0.15">
      <c r="A10" t="s">
        <v>58</v>
      </c>
    </row>
    <row r="11" spans="1:6" x14ac:dyDescent="0.15">
      <c r="A11" s="1" t="s">
        <v>57</v>
      </c>
    </row>
    <row r="12" spans="1:6" x14ac:dyDescent="0.15">
      <c r="A12" t="s">
        <v>131</v>
      </c>
      <c r="B12">
        <v>12.01</v>
      </c>
      <c r="C12">
        <v>6.86</v>
      </c>
      <c r="D12">
        <v>7.3884999999999996</v>
      </c>
      <c r="E12">
        <v>18.290900000000001</v>
      </c>
      <c r="F12">
        <v>45.5306</v>
      </c>
    </row>
    <row r="13" spans="1:6" x14ac:dyDescent="0.15">
      <c r="A13" t="s">
        <v>55</v>
      </c>
      <c r="B13">
        <v>0.2266</v>
      </c>
      <c r="C13">
        <v>3.9210000000000002E-2</v>
      </c>
    </row>
    <row r="14" spans="1:6" x14ac:dyDescent="0.15">
      <c r="A14" t="s">
        <v>54</v>
      </c>
      <c r="B14">
        <v>3.1899999999999998E-2</v>
      </c>
      <c r="C14">
        <v>1.41</v>
      </c>
      <c r="D14">
        <v>1.4057999999999999</v>
      </c>
      <c r="E14">
        <v>3.1621000000000001</v>
      </c>
      <c r="F14">
        <v>3.6703000000000001</v>
      </c>
    </row>
    <row r="15" spans="1:6" x14ac:dyDescent="0.15">
      <c r="A15" t="s">
        <v>236</v>
      </c>
    </row>
    <row r="16" spans="1:6" x14ac:dyDescent="0.15">
      <c r="A16" t="s">
        <v>52</v>
      </c>
    </row>
    <row r="17" spans="1:6" x14ac:dyDescent="0.15">
      <c r="A17" t="s">
        <v>51</v>
      </c>
      <c r="B17">
        <v>-1.7399999999999999E-2</v>
      </c>
      <c r="C17">
        <v>1.29</v>
      </c>
      <c r="D17">
        <v>1.2040999999999999</v>
      </c>
      <c r="E17">
        <v>2.7873000000000001</v>
      </c>
      <c r="F17">
        <v>3.2726999999999999</v>
      </c>
    </row>
    <row r="18" spans="1:6" x14ac:dyDescent="0.15">
      <c r="A18" t="s">
        <v>50</v>
      </c>
      <c r="B18" s="2">
        <f>B14/B12</f>
        <v>2.6561199000832638E-3</v>
      </c>
      <c r="C18" s="2">
        <f>C14/C12</f>
        <v>0.20553935860058306</v>
      </c>
      <c r="D18" s="2">
        <f>D14/D12</f>
        <v>0.19026866075658116</v>
      </c>
      <c r="E18" s="2">
        <f>E14/E12</f>
        <v>0.17287831653991875</v>
      </c>
      <c r="F18" s="2">
        <f>F14/F12</f>
        <v>8.0611720469310755E-2</v>
      </c>
    </row>
    <row r="19" spans="1:6" x14ac:dyDescent="0.15">
      <c r="A19" s="5" t="s">
        <v>49</v>
      </c>
      <c r="B19" s="2">
        <f>B14/B7</f>
        <v>1.5455426356589146E-3</v>
      </c>
      <c r="C19" s="2">
        <f>C14/C7</f>
        <v>0.17028985507246377</v>
      </c>
      <c r="D19" s="2">
        <f>D14/D7</f>
        <v>6.8057707203718051E-2</v>
      </c>
      <c r="E19" s="2">
        <f>E14/E7</f>
        <v>8.9463350044701975E-2</v>
      </c>
      <c r="F19" s="2">
        <f>F14/F7</f>
        <v>0.11578671747826418</v>
      </c>
    </row>
    <row r="20" spans="1:6" x14ac:dyDescent="0.15">
      <c r="A20" s="1" t="s">
        <v>231</v>
      </c>
    </row>
    <row r="21" spans="1:6" x14ac:dyDescent="0.15">
      <c r="A21" t="s">
        <v>47</v>
      </c>
    </row>
    <row r="22" spans="1:6" x14ac:dyDescent="0.15">
      <c r="A22" t="s">
        <v>46</v>
      </c>
    </row>
    <row r="23" spans="1:6" x14ac:dyDescent="0.15">
      <c r="A23" t="s">
        <v>228</v>
      </c>
    </row>
    <row r="24" spans="1:6" x14ac:dyDescent="0.15">
      <c r="A24" s="4" t="s">
        <v>44</v>
      </c>
      <c r="B24" s="2">
        <f>0.05/19.53</f>
        <v>2.5601638504864311E-3</v>
      </c>
      <c r="C24" s="2">
        <f>0.64/25.7</f>
        <v>2.4902723735408562E-2</v>
      </c>
      <c r="D24" s="2">
        <f>0.194/D2</f>
        <v>1.4630467571644042E-2</v>
      </c>
      <c r="E24" s="2">
        <f>0.4612/E2</f>
        <v>9.6890756302521006E-3</v>
      </c>
      <c r="F24" s="2">
        <f>0.53/F2</f>
        <v>2.12E-2</v>
      </c>
    </row>
    <row r="25" spans="1:6" x14ac:dyDescent="0.15">
      <c r="A25" t="s">
        <v>226</v>
      </c>
    </row>
    <row r="26" spans="1:6" x14ac:dyDescent="0.15">
      <c r="A26" t="s">
        <v>42</v>
      </c>
    </row>
    <row r="27" spans="1:6" x14ac:dyDescent="0.15">
      <c r="A27" s="3" t="s">
        <v>41</v>
      </c>
    </row>
    <row r="28" spans="1:6" x14ac:dyDescent="0.15">
      <c r="A28" t="s">
        <v>40</v>
      </c>
    </row>
    <row r="29" spans="1:6" x14ac:dyDescent="0.15">
      <c r="A29" s="1" t="s">
        <v>39</v>
      </c>
    </row>
    <row r="30" spans="1:6" x14ac:dyDescent="0.15">
      <c r="A30" t="s">
        <v>221</v>
      </c>
    </row>
    <row r="31" spans="1:6" x14ac:dyDescent="0.15">
      <c r="A31" t="s">
        <v>37</v>
      </c>
      <c r="B31">
        <v>1.6514285714285717</v>
      </c>
      <c r="C31">
        <f>SUM(C35:C41)/7</f>
        <v>0.39540000000000003</v>
      </c>
      <c r="D31">
        <f>SUM(D35:D41)/7</f>
        <v>0.16557142857142856</v>
      </c>
      <c r="E31">
        <f>SUM(E35:E41)/7</f>
        <v>0.54042857142857137</v>
      </c>
      <c r="F31">
        <f>SUM(F35:F41)/7</f>
        <v>0.8957142857142858</v>
      </c>
    </row>
    <row r="32" spans="1:6" x14ac:dyDescent="0.15">
      <c r="A32" t="s">
        <v>219</v>
      </c>
    </row>
    <row r="33" spans="1:6" x14ac:dyDescent="0.15">
      <c r="A33" s="1" t="s">
        <v>35</v>
      </c>
    </row>
    <row r="34" spans="1:6" x14ac:dyDescent="0.15">
      <c r="A34" t="s">
        <v>109</v>
      </c>
    </row>
    <row r="35" spans="1:6" x14ac:dyDescent="0.15">
      <c r="A35" s="1">
        <v>2011</v>
      </c>
      <c r="B35">
        <v>0.53</v>
      </c>
      <c r="C35">
        <v>0.66359999999999997</v>
      </c>
      <c r="D35">
        <v>0.16300000000000001</v>
      </c>
      <c r="E35">
        <v>0.2276</v>
      </c>
      <c r="F35">
        <v>0.7</v>
      </c>
    </row>
    <row r="36" spans="1:6" x14ac:dyDescent="0.15">
      <c r="A36" s="1">
        <v>2012</v>
      </c>
      <c r="B36">
        <v>4.76</v>
      </c>
      <c r="C36">
        <v>0.218</v>
      </c>
      <c r="D36">
        <v>0.127</v>
      </c>
      <c r="E36">
        <v>0.58440000000000003</v>
      </c>
      <c r="F36">
        <v>0.87</v>
      </c>
    </row>
    <row r="37" spans="1:6" x14ac:dyDescent="0.15">
      <c r="A37" s="1">
        <v>2013</v>
      </c>
      <c r="B37">
        <v>3.49</v>
      </c>
      <c r="C37">
        <v>0.1875</v>
      </c>
      <c r="D37">
        <v>0.14000000000000001</v>
      </c>
      <c r="E37">
        <v>0.90139999999999998</v>
      </c>
      <c r="F37">
        <v>0.89</v>
      </c>
    </row>
    <row r="38" spans="1:6" x14ac:dyDescent="0.15">
      <c r="A38" s="1">
        <v>2014</v>
      </c>
      <c r="B38">
        <v>0.92</v>
      </c>
      <c r="C38">
        <v>0.20150000000000001</v>
      </c>
      <c r="D38">
        <v>0.125</v>
      </c>
      <c r="E38">
        <v>0.50160000000000005</v>
      </c>
      <c r="F38">
        <v>0.76</v>
      </c>
    </row>
    <row r="39" spans="1:6" x14ac:dyDescent="0.15">
      <c r="A39" s="1">
        <v>2015</v>
      </c>
      <c r="B39">
        <v>0.89</v>
      </c>
      <c r="C39">
        <v>0.29199999999999998</v>
      </c>
      <c r="D39">
        <v>0.26500000000000001</v>
      </c>
      <c r="E39">
        <v>0.55289999999999995</v>
      </c>
      <c r="F39">
        <v>1.1599999999999999</v>
      </c>
    </row>
    <row r="40" spans="1:6" x14ac:dyDescent="0.15">
      <c r="A40" s="1">
        <v>2016</v>
      </c>
      <c r="B40">
        <v>0.92</v>
      </c>
      <c r="C40">
        <v>0.56689999999999996</v>
      </c>
      <c r="D40">
        <v>0.14499999999999999</v>
      </c>
      <c r="E40">
        <v>0.55389999999999995</v>
      </c>
      <c r="F40">
        <v>1.36</v>
      </c>
    </row>
    <row r="41" spans="1:6" x14ac:dyDescent="0.15">
      <c r="A41" s="1">
        <v>2017</v>
      </c>
      <c r="B41">
        <v>0.05</v>
      </c>
      <c r="C41">
        <v>0.63829999999999998</v>
      </c>
      <c r="D41">
        <v>0.19400000000000001</v>
      </c>
      <c r="E41">
        <v>0.4612</v>
      </c>
      <c r="F41">
        <v>0.53</v>
      </c>
    </row>
    <row r="42" spans="1:6" x14ac:dyDescent="0.15">
      <c r="A42" s="1" t="s">
        <v>33</v>
      </c>
    </row>
    <row r="43" spans="1:6" x14ac:dyDescent="0.15">
      <c r="A43" t="s">
        <v>32</v>
      </c>
    </row>
    <row r="44" spans="1:6" x14ac:dyDescent="0.15">
      <c r="A44" s="1">
        <v>2011</v>
      </c>
      <c r="B44">
        <v>0</v>
      </c>
      <c r="D44" s="20">
        <v>0</v>
      </c>
      <c r="E44" s="20">
        <v>1.1000000000000001</v>
      </c>
      <c r="F44" s="20">
        <v>2.5</v>
      </c>
    </row>
    <row r="45" spans="1:6" x14ac:dyDescent="0.15">
      <c r="A45" s="1">
        <v>2012</v>
      </c>
      <c r="C45" s="20">
        <v>4</v>
      </c>
      <c r="D45" s="20">
        <v>0.5</v>
      </c>
      <c r="E45" s="20">
        <v>1</v>
      </c>
      <c r="F45" s="20">
        <v>2.5</v>
      </c>
    </row>
    <row r="46" spans="1:6" x14ac:dyDescent="0.15">
      <c r="A46" s="1">
        <v>2013</v>
      </c>
      <c r="C46" s="20">
        <v>2</v>
      </c>
      <c r="D46" s="20">
        <v>0.25</v>
      </c>
      <c r="E46" s="20">
        <v>0.97868299999999997</v>
      </c>
      <c r="F46" s="20">
        <v>2.5</v>
      </c>
    </row>
    <row r="47" spans="1:6" x14ac:dyDescent="0.15">
      <c r="A47" s="1">
        <v>2014</v>
      </c>
      <c r="C47" s="20">
        <v>2</v>
      </c>
      <c r="D47" s="20">
        <v>0.25</v>
      </c>
      <c r="E47" s="20">
        <v>1</v>
      </c>
      <c r="F47" s="20">
        <v>2.5</v>
      </c>
    </row>
    <row r="48" spans="1:6" x14ac:dyDescent="0.15">
      <c r="A48" s="1">
        <v>2015</v>
      </c>
      <c r="C48" s="20">
        <v>1.5</v>
      </c>
      <c r="D48" s="20">
        <v>0.25</v>
      </c>
      <c r="E48" s="20">
        <v>1</v>
      </c>
      <c r="F48" s="20">
        <v>5</v>
      </c>
    </row>
    <row r="49" spans="1:6" x14ac:dyDescent="0.15">
      <c r="A49" s="1">
        <v>2016</v>
      </c>
      <c r="B49" s="20">
        <v>2</v>
      </c>
      <c r="C49" s="20">
        <v>2</v>
      </c>
      <c r="D49" s="20">
        <v>0.3</v>
      </c>
      <c r="E49" s="20">
        <v>0.56000000000000005</v>
      </c>
      <c r="F49" s="20">
        <v>5.0038400000000003</v>
      </c>
    </row>
    <row r="50" spans="1:6" x14ac:dyDescent="0.15">
      <c r="A50" s="1">
        <v>2017</v>
      </c>
      <c r="B50" s="20">
        <v>3.0104899999999999</v>
      </c>
      <c r="C50" s="20">
        <v>3.4841899999999999</v>
      </c>
      <c r="D50" s="20">
        <v>0.15</v>
      </c>
      <c r="E50" s="20">
        <v>0.56000000000000005</v>
      </c>
      <c r="F50" s="20">
        <v>5</v>
      </c>
    </row>
    <row r="51" spans="1:6" x14ac:dyDescent="0.15">
      <c r="A51" t="s">
        <v>31</v>
      </c>
      <c r="B51" s="2">
        <f>B50/B2/10</f>
        <v>1.4829999999999999E-2</v>
      </c>
      <c r="C51" s="2">
        <f>C50/C2/10</f>
        <v>1.3147886792452828E-2</v>
      </c>
      <c r="D51" s="2">
        <f>D50/D2/10</f>
        <v>1.1312217194570135E-3</v>
      </c>
      <c r="E51" s="2">
        <f>E50/E2/10</f>
        <v>1.1764705882352942E-3</v>
      </c>
      <c r="F51" s="19">
        <f>F50/F2/10</f>
        <v>0.02</v>
      </c>
    </row>
    <row r="52" spans="1:6" x14ac:dyDescent="0.15">
      <c r="A52" t="s">
        <v>105</v>
      </c>
    </row>
    <row r="53" spans="1:6" x14ac:dyDescent="0.15">
      <c r="A53" t="s">
        <v>211</v>
      </c>
    </row>
    <row r="54" spans="1:6" x14ac:dyDescent="0.15">
      <c r="A54" s="1" t="s">
        <v>28</v>
      </c>
    </row>
    <row r="55" spans="1:6" x14ac:dyDescent="0.15">
      <c r="A55" t="s">
        <v>27</v>
      </c>
      <c r="B55">
        <v>13.13</v>
      </c>
      <c r="C55">
        <v>3.95</v>
      </c>
      <c r="D55">
        <v>3.4763999999999999</v>
      </c>
      <c r="E55">
        <v>10.147600000000001</v>
      </c>
      <c r="F55">
        <v>8.7111000000000001</v>
      </c>
    </row>
    <row r="56" spans="1:6" x14ac:dyDescent="0.15">
      <c r="A56" t="s">
        <v>26</v>
      </c>
      <c r="B56">
        <v>0.59350000000000003</v>
      </c>
      <c r="C56">
        <v>1.0900000000000001</v>
      </c>
      <c r="D56">
        <v>5.3780999999999999</v>
      </c>
      <c r="E56">
        <v>8.1701999999999995</v>
      </c>
      <c r="F56">
        <v>11.669600000000001</v>
      </c>
    </row>
    <row r="57" spans="1:6" x14ac:dyDescent="0.15">
      <c r="A57" t="s">
        <v>100</v>
      </c>
      <c r="B57">
        <v>2.4900000000000002</v>
      </c>
      <c r="C57">
        <v>1.18</v>
      </c>
      <c r="D57">
        <v>2.7145000000000001</v>
      </c>
      <c r="E57">
        <v>6.0053999999999998</v>
      </c>
      <c r="F57">
        <v>12.282</v>
      </c>
    </row>
    <row r="58" spans="1:6" x14ac:dyDescent="0.15">
      <c r="A58" t="s">
        <v>24</v>
      </c>
      <c r="B58">
        <v>20.21</v>
      </c>
      <c r="C58">
        <v>9.92</v>
      </c>
      <c r="D58">
        <v>12.382099999999999</v>
      </c>
      <c r="E58">
        <v>27.4282</v>
      </c>
      <c r="F58">
        <v>39.973999999999997</v>
      </c>
    </row>
    <row r="59" spans="1:6" x14ac:dyDescent="0.15">
      <c r="A59" t="s">
        <v>23</v>
      </c>
      <c r="B59">
        <v>2.57</v>
      </c>
      <c r="C59">
        <v>1.84</v>
      </c>
      <c r="D59">
        <v>6.5664999999999996</v>
      </c>
      <c r="E59">
        <v>9.11</v>
      </c>
      <c r="F59">
        <v>17.929500000000001</v>
      </c>
    </row>
    <row r="60" spans="1:6" x14ac:dyDescent="0.15">
      <c r="A60" t="s">
        <v>97</v>
      </c>
      <c r="B60">
        <v>0</v>
      </c>
      <c r="C60">
        <v>0</v>
      </c>
      <c r="D60">
        <v>0</v>
      </c>
    </row>
    <row r="61" spans="1:6" x14ac:dyDescent="0.15">
      <c r="A61" t="s">
        <v>21</v>
      </c>
      <c r="B61">
        <f>B58-B57</f>
        <v>17.72</v>
      </c>
      <c r="C61">
        <f>C58-C57</f>
        <v>8.74</v>
      </c>
      <c r="D61">
        <f>D58-D57</f>
        <v>9.6676000000000002</v>
      </c>
      <c r="E61">
        <f>E58-E57</f>
        <v>21.422800000000002</v>
      </c>
      <c r="F61">
        <f>F58-F57</f>
        <v>27.691999999999997</v>
      </c>
    </row>
    <row r="62" spans="1:6" x14ac:dyDescent="0.15">
      <c r="A62" t="s">
        <v>321</v>
      </c>
      <c r="B62">
        <f>B58/B59</f>
        <v>7.8638132295719849</v>
      </c>
      <c r="C62">
        <f>C58/C59</f>
        <v>5.3913043478260869</v>
      </c>
      <c r="D62">
        <f>D58/D59</f>
        <v>1.8856468438285237</v>
      </c>
      <c r="E62">
        <f>E58/E59</f>
        <v>3.0107793633369924</v>
      </c>
      <c r="F62">
        <f>F58/F59</f>
        <v>2.2295100253771714</v>
      </c>
    </row>
    <row r="63" spans="1:6" x14ac:dyDescent="0.15">
      <c r="A63" t="s">
        <v>94</v>
      </c>
      <c r="B63">
        <f>B57/B12</f>
        <v>0.20732722731057454</v>
      </c>
      <c r="C63">
        <f>C57/C12</f>
        <v>0.17201166180758015</v>
      </c>
      <c r="D63">
        <f>D57/D12</f>
        <v>0.36739527644312109</v>
      </c>
      <c r="E63">
        <f>E57/E12</f>
        <v>0.32832720095785334</v>
      </c>
      <c r="F63">
        <f>F57/F12</f>
        <v>0.26975264986624381</v>
      </c>
    </row>
    <row r="64" spans="1:6" x14ac:dyDescent="0.15">
      <c r="A64" t="s">
        <v>18</v>
      </c>
      <c r="B64">
        <f>B56/B12</f>
        <v>4.9417152373022487E-2</v>
      </c>
      <c r="C64">
        <f>C56/C12</f>
        <v>0.15889212827988339</v>
      </c>
      <c r="D64">
        <f>D56/D12</f>
        <v>0.72790146849834203</v>
      </c>
      <c r="E64">
        <f>E56/E12</f>
        <v>0.44668113652143959</v>
      </c>
      <c r="F64">
        <f>F56/F12</f>
        <v>0.2563023548997817</v>
      </c>
    </row>
    <row r="65" spans="1:6" x14ac:dyDescent="0.15">
      <c r="A65" t="s">
        <v>17</v>
      </c>
      <c r="B65">
        <f>23.55-0.9-0.2416</f>
        <v>22.408400000000004</v>
      </c>
      <c r="C65">
        <f>9.86-0.2158-0.2744</f>
        <v>9.3697999999999997</v>
      </c>
      <c r="D65">
        <f>D7-7.5162-2.3717</f>
        <v>10.768099999999997</v>
      </c>
      <c r="E65">
        <f>E7-8.0668-4.7913</f>
        <v>22.487099999999998</v>
      </c>
      <c r="F65">
        <f>F7-1</f>
        <v>30.698799999999999</v>
      </c>
    </row>
    <row r="66" spans="1:6" x14ac:dyDescent="0.15">
      <c r="A66" t="s">
        <v>16</v>
      </c>
      <c r="B66">
        <f>(B55-2.8)/3.31</f>
        <v>3.1208459214501514</v>
      </c>
      <c r="C66">
        <f>(C55-1.58)/2.1</f>
        <v>1.1285714285714286</v>
      </c>
      <c r="D66">
        <f>(D55-6.6648)/7.02</f>
        <v>-0.45418803418803416</v>
      </c>
      <c r="E66">
        <f>(E55-14.6357)/6.07</f>
        <v>-0.7393904448105435</v>
      </c>
      <c r="F66">
        <f>(F55-19.9285)/6.46</f>
        <v>-1.7364396284829722</v>
      </c>
    </row>
    <row r="67" spans="1:6" x14ac:dyDescent="0.15">
      <c r="A67" t="s">
        <v>90</v>
      </c>
      <c r="B67">
        <f>(B61-2.8)/3.31</f>
        <v>4.5075528700906338</v>
      </c>
      <c r="C67">
        <f>(C61-1.58)/2.1</f>
        <v>3.4095238095238094</v>
      </c>
      <c r="D67">
        <f>(D61-6.8849)/7.02</f>
        <v>0.39639601139601144</v>
      </c>
      <c r="E67">
        <f>(E61-14.6357)/6.07</f>
        <v>1.1181383855024716</v>
      </c>
      <c r="F67">
        <f>(F61-19.9285)/6.46</f>
        <v>1.2017801857585135</v>
      </c>
    </row>
    <row r="68" spans="1:6" x14ac:dyDescent="0.15">
      <c r="A68" t="s">
        <v>14</v>
      </c>
      <c r="B68">
        <f>(B65-2.8)/3.31</f>
        <v>5.9239879154078556</v>
      </c>
      <c r="C68">
        <f>(C65-1.58)/2.1</f>
        <v>3.7094285714285711</v>
      </c>
      <c r="D68">
        <f>(D65-6.8848)/7.02</f>
        <v>0.55317663817663776</v>
      </c>
      <c r="E68">
        <f>(E65-14.6357)/6.07</f>
        <v>1.2934761120263587</v>
      </c>
      <c r="F68">
        <f>(F65-19.9285)/6.46</f>
        <v>1.6672291021671826</v>
      </c>
    </row>
    <row r="69" spans="1:6" x14ac:dyDescent="0.15">
      <c r="A69" s="1" t="s">
        <v>13</v>
      </c>
    </row>
    <row r="70" spans="1:6" x14ac:dyDescent="0.15">
      <c r="A70" t="s">
        <v>12</v>
      </c>
    </row>
    <row r="71" spans="1:6" x14ac:dyDescent="0.15">
      <c r="A71" t="s">
        <v>11</v>
      </c>
    </row>
    <row r="72" spans="1:6" x14ac:dyDescent="0.15">
      <c r="A72" t="s">
        <v>10</v>
      </c>
    </row>
    <row r="73" spans="1:6" x14ac:dyDescent="0.15">
      <c r="A73" t="s">
        <v>84</v>
      </c>
    </row>
    <row r="74" spans="1:6" x14ac:dyDescent="0.15">
      <c r="A74" t="s">
        <v>83</v>
      </c>
    </row>
    <row r="75" spans="1:6" x14ac:dyDescent="0.15">
      <c r="A75" t="s">
        <v>7</v>
      </c>
    </row>
    <row r="76" spans="1:6" x14ac:dyDescent="0.15">
      <c r="A76" t="s">
        <v>6</v>
      </c>
    </row>
    <row r="77" spans="1:6" x14ac:dyDescent="0.15">
      <c r="A77" t="s">
        <v>5</v>
      </c>
    </row>
    <row r="78" spans="1:6" x14ac:dyDescent="0.15">
      <c r="A78" t="s">
        <v>4</v>
      </c>
    </row>
    <row r="79" spans="1:6" x14ac:dyDescent="0.15">
      <c r="A79" t="s">
        <v>3</v>
      </c>
    </row>
    <row r="80" spans="1:6" x14ac:dyDescent="0.15">
      <c r="A80" t="s">
        <v>2</v>
      </c>
    </row>
    <row r="81" spans="1:1" x14ac:dyDescent="0.15">
      <c r="A81" t="s">
        <v>1</v>
      </c>
    </row>
    <row r="82" spans="1:1" x14ac:dyDescent="0.15">
      <c r="A82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"/>
  <sheetViews>
    <sheetView tabSelected="1" topLeftCell="A49" workbookViewId="0">
      <selection activeCell="C56" sqref="C56"/>
    </sheetView>
  </sheetViews>
  <sheetFormatPr defaultRowHeight="13.5" x14ac:dyDescent="0.15"/>
  <cols>
    <col min="1" max="1" width="81.5" customWidth="1"/>
    <col min="2" max="2" width="53.375" customWidth="1"/>
  </cols>
  <sheetData>
    <row r="1" spans="1:3" x14ac:dyDescent="0.15">
      <c r="B1" t="s">
        <v>448</v>
      </c>
      <c r="C1" t="s">
        <v>451</v>
      </c>
    </row>
    <row r="2" spans="1:3" x14ac:dyDescent="0.15">
      <c r="A2" s="1" t="s">
        <v>66</v>
      </c>
    </row>
    <row r="3" spans="1:3" x14ac:dyDescent="0.15">
      <c r="A3" s="1" t="s">
        <v>65</v>
      </c>
    </row>
    <row r="4" spans="1:3" x14ac:dyDescent="0.15">
      <c r="A4" t="s">
        <v>64</v>
      </c>
    </row>
    <row r="5" spans="1:3" x14ac:dyDescent="0.15">
      <c r="A5" t="s">
        <v>63</v>
      </c>
    </row>
    <row r="6" spans="1:3" x14ac:dyDescent="0.15">
      <c r="A6" t="s">
        <v>62</v>
      </c>
      <c r="B6">
        <v>49.6</v>
      </c>
      <c r="C6">
        <v>385.69</v>
      </c>
    </row>
    <row r="7" spans="1:3" x14ac:dyDescent="0.15">
      <c r="A7" t="s">
        <v>61</v>
      </c>
      <c r="B7">
        <v>49.6</v>
      </c>
      <c r="C7">
        <v>385.69</v>
      </c>
    </row>
    <row r="8" spans="1:3" x14ac:dyDescent="0.15">
      <c r="A8" t="s">
        <v>60</v>
      </c>
    </row>
    <row r="9" spans="1:3" x14ac:dyDescent="0.15">
      <c r="A9" t="s">
        <v>59</v>
      </c>
    </row>
    <row r="10" spans="1:3" x14ac:dyDescent="0.15">
      <c r="A10" t="s">
        <v>58</v>
      </c>
    </row>
    <row r="11" spans="1:3" x14ac:dyDescent="0.15">
      <c r="A11" s="1" t="s">
        <v>57</v>
      </c>
    </row>
    <row r="12" spans="1:3" x14ac:dyDescent="0.15">
      <c r="A12" t="s">
        <v>56</v>
      </c>
      <c r="B12">
        <v>10.42</v>
      </c>
      <c r="C12">
        <v>48.45</v>
      </c>
    </row>
    <row r="13" spans="1:3" x14ac:dyDescent="0.15">
      <c r="A13" t="s">
        <v>55</v>
      </c>
    </row>
    <row r="14" spans="1:3" x14ac:dyDescent="0.15">
      <c r="A14" t="s">
        <v>54</v>
      </c>
      <c r="B14">
        <v>1.1100000000000001</v>
      </c>
      <c r="C14">
        <v>6.55</v>
      </c>
    </row>
    <row r="15" spans="1:3" x14ac:dyDescent="0.15">
      <c r="A15" t="s">
        <v>53</v>
      </c>
    </row>
    <row r="16" spans="1:3" x14ac:dyDescent="0.15">
      <c r="A16" t="s">
        <v>52</v>
      </c>
    </row>
    <row r="17" spans="1:3" x14ac:dyDescent="0.15">
      <c r="A17" t="s">
        <v>51</v>
      </c>
      <c r="B17">
        <v>0.9486</v>
      </c>
      <c r="C17">
        <v>5.5</v>
      </c>
    </row>
    <row r="18" spans="1:3" x14ac:dyDescent="0.15">
      <c r="A18" t="s">
        <v>50</v>
      </c>
      <c r="B18" s="2">
        <f>B14/B12</f>
        <v>0.10652591170825337</v>
      </c>
      <c r="C18" s="2">
        <f>C14/C12</f>
        <v>0.13519091847265222</v>
      </c>
    </row>
    <row r="19" spans="1:3" x14ac:dyDescent="0.15">
      <c r="A19" s="5" t="s">
        <v>49</v>
      </c>
      <c r="B19" s="2">
        <f>B14/B7</f>
        <v>2.2379032258064518E-2</v>
      </c>
      <c r="C19" s="2">
        <f>C14/C7</f>
        <v>1.6982550753195571E-2</v>
      </c>
    </row>
    <row r="20" spans="1:3" x14ac:dyDescent="0.15">
      <c r="A20" s="1" t="s">
        <v>48</v>
      </c>
    </row>
    <row r="21" spans="1:3" x14ac:dyDescent="0.15">
      <c r="A21" t="s">
        <v>47</v>
      </c>
    </row>
    <row r="22" spans="1:3" x14ac:dyDescent="0.15">
      <c r="A22" t="s">
        <v>46</v>
      </c>
    </row>
    <row r="23" spans="1:3" x14ac:dyDescent="0.15">
      <c r="A23" t="s">
        <v>120</v>
      </c>
      <c r="B23">
        <v>0.52390000000000003</v>
      </c>
      <c r="C23">
        <v>1.22</v>
      </c>
    </row>
    <row r="24" spans="1:3" x14ac:dyDescent="0.15">
      <c r="A24" s="4" t="s">
        <v>44</v>
      </c>
      <c r="B24" s="2">
        <f>B23/31</f>
        <v>1.6900000000000002E-2</v>
      </c>
      <c r="C24" s="2">
        <f>C23/92</f>
        <v>1.3260869565217392E-2</v>
      </c>
    </row>
    <row r="25" spans="1:3" x14ac:dyDescent="0.15">
      <c r="A25" t="s">
        <v>43</v>
      </c>
    </row>
    <row r="26" spans="1:3" x14ac:dyDescent="0.15">
      <c r="A26" t="s">
        <v>42</v>
      </c>
    </row>
    <row r="27" spans="1:3" x14ac:dyDescent="0.15">
      <c r="A27" s="3" t="s">
        <v>41</v>
      </c>
      <c r="B27" s="2">
        <f>B12/B6</f>
        <v>0.21008064516129032</v>
      </c>
      <c r="C27" s="2">
        <f>C12/C6</f>
        <v>0.12561902045684359</v>
      </c>
    </row>
    <row r="28" spans="1:3" x14ac:dyDescent="0.15">
      <c r="A28" t="s">
        <v>40</v>
      </c>
    </row>
    <row r="29" spans="1:3" x14ac:dyDescent="0.15">
      <c r="A29" s="1" t="s">
        <v>39</v>
      </c>
    </row>
    <row r="30" spans="1:3" x14ac:dyDescent="0.15">
      <c r="A30" t="s">
        <v>38</v>
      </c>
    </row>
    <row r="31" spans="1:3" x14ac:dyDescent="0.15">
      <c r="A31" t="s">
        <v>37</v>
      </c>
    </row>
    <row r="32" spans="1:3" x14ac:dyDescent="0.15">
      <c r="A32" t="s">
        <v>36</v>
      </c>
    </row>
    <row r="33" spans="1:3" x14ac:dyDescent="0.15">
      <c r="A33" s="1" t="s">
        <v>35</v>
      </c>
    </row>
    <row r="34" spans="1:3" x14ac:dyDescent="0.15">
      <c r="A34" t="s">
        <v>34</v>
      </c>
    </row>
    <row r="35" spans="1:3" x14ac:dyDescent="0.15">
      <c r="A35" s="1">
        <v>2011</v>
      </c>
    </row>
    <row r="36" spans="1:3" x14ac:dyDescent="0.15">
      <c r="A36" s="1">
        <v>2012</v>
      </c>
    </row>
    <row r="37" spans="1:3" x14ac:dyDescent="0.15">
      <c r="A37" s="1">
        <v>2013</v>
      </c>
      <c r="B37">
        <v>0.68540000000000001</v>
      </c>
      <c r="C37">
        <v>0.7349</v>
      </c>
    </row>
    <row r="38" spans="1:3" x14ac:dyDescent="0.15">
      <c r="A38" s="1">
        <v>2014</v>
      </c>
      <c r="B38">
        <v>0.96819999999999995</v>
      </c>
      <c r="C38">
        <v>1.03</v>
      </c>
    </row>
    <row r="39" spans="1:3" x14ac:dyDescent="0.15">
      <c r="A39" s="1">
        <v>2015</v>
      </c>
      <c r="B39">
        <v>1.1032</v>
      </c>
      <c r="C39">
        <v>1.31</v>
      </c>
    </row>
    <row r="40" spans="1:3" x14ac:dyDescent="0.15">
      <c r="A40" s="1">
        <v>2016</v>
      </c>
      <c r="B40">
        <v>1.4816</v>
      </c>
      <c r="C40">
        <v>2.54</v>
      </c>
    </row>
    <row r="41" spans="1:3" x14ac:dyDescent="0.15">
      <c r="A41" s="1">
        <v>2017</v>
      </c>
      <c r="B41">
        <v>1.673</v>
      </c>
      <c r="C41">
        <v>3.21</v>
      </c>
    </row>
    <row r="42" spans="1:3" x14ac:dyDescent="0.15">
      <c r="A42" s="1" t="s">
        <v>33</v>
      </c>
    </row>
    <row r="43" spans="1:3" x14ac:dyDescent="0.15">
      <c r="A43" t="s">
        <v>32</v>
      </c>
    </row>
    <row r="44" spans="1:3" x14ac:dyDescent="0.15">
      <c r="A44" s="1">
        <v>2011</v>
      </c>
    </row>
    <row r="45" spans="1:3" x14ac:dyDescent="0.15">
      <c r="A45" s="1">
        <v>2012</v>
      </c>
    </row>
    <row r="46" spans="1:3" x14ac:dyDescent="0.15">
      <c r="A46" s="1">
        <v>2013</v>
      </c>
    </row>
    <row r="47" spans="1:3" x14ac:dyDescent="0.15">
      <c r="A47" s="1">
        <v>2014</v>
      </c>
    </row>
    <row r="48" spans="1:3" x14ac:dyDescent="0.15">
      <c r="A48" s="1">
        <v>2015</v>
      </c>
    </row>
    <row r="49" spans="1:3" x14ac:dyDescent="0.15">
      <c r="A49" s="1">
        <v>2016</v>
      </c>
    </row>
    <row r="50" spans="1:3" x14ac:dyDescent="0.15">
      <c r="A50" s="1">
        <v>2017</v>
      </c>
      <c r="B50" s="2">
        <f>0.6/B41</f>
        <v>0.35863717872086071</v>
      </c>
      <c r="C50" s="2">
        <f>1/C41</f>
        <v>0.3115264797507788</v>
      </c>
    </row>
    <row r="51" spans="1:3" x14ac:dyDescent="0.15">
      <c r="A51" t="s">
        <v>31</v>
      </c>
    </row>
    <row r="52" spans="1:3" x14ac:dyDescent="0.15">
      <c r="A52" t="s">
        <v>30</v>
      </c>
    </row>
    <row r="53" spans="1:3" x14ac:dyDescent="0.15">
      <c r="A53" t="s">
        <v>29</v>
      </c>
    </row>
    <row r="54" spans="1:3" x14ac:dyDescent="0.15">
      <c r="A54" s="1" t="s">
        <v>28</v>
      </c>
    </row>
    <row r="55" spans="1:3" x14ac:dyDescent="0.15">
      <c r="A55" t="s">
        <v>27</v>
      </c>
      <c r="B55">
        <f>8.58+4.22</f>
        <v>12.8</v>
      </c>
      <c r="C55">
        <f>5.4+24.89</f>
        <v>30.29</v>
      </c>
    </row>
    <row r="56" spans="1:3" x14ac:dyDescent="0.15">
      <c r="A56" t="s">
        <v>26</v>
      </c>
      <c r="B56">
        <f>0.54+0.95+0.12</f>
        <v>1.6099999999999999</v>
      </c>
      <c r="C56">
        <f>2.67+0.61+0.33</f>
        <v>3.61</v>
      </c>
    </row>
    <row r="57" spans="1:3" x14ac:dyDescent="0.15">
      <c r="A57" t="s">
        <v>25</v>
      </c>
      <c r="B57">
        <f>1.39</f>
        <v>1.39</v>
      </c>
      <c r="C57">
        <v>7.24</v>
      </c>
    </row>
    <row r="58" spans="1:3" x14ac:dyDescent="0.15">
      <c r="A58" t="s">
        <v>24</v>
      </c>
      <c r="B58">
        <v>16.05</v>
      </c>
      <c r="C58">
        <v>42.07</v>
      </c>
    </row>
    <row r="59" spans="1:3" x14ac:dyDescent="0.15">
      <c r="A59" t="s">
        <v>23</v>
      </c>
      <c r="B59">
        <v>7.73</v>
      </c>
      <c r="C59">
        <v>35.51</v>
      </c>
    </row>
    <row r="60" spans="1:3" x14ac:dyDescent="0.15">
      <c r="A60" t="s">
        <v>22</v>
      </c>
      <c r="B60">
        <f>0.79+2.12</f>
        <v>2.91</v>
      </c>
      <c r="C60">
        <f>1.91+6.57</f>
        <v>8.48</v>
      </c>
    </row>
    <row r="61" spans="1:3" x14ac:dyDescent="0.15">
      <c r="A61" t="s">
        <v>21</v>
      </c>
      <c r="B61">
        <f>B58-B57</f>
        <v>14.66</v>
      </c>
      <c r="C61">
        <f>C58-C57</f>
        <v>34.83</v>
      </c>
    </row>
    <row r="62" spans="1:3" x14ac:dyDescent="0.15">
      <c r="A62" t="s">
        <v>321</v>
      </c>
      <c r="B62">
        <f>B58/B59</f>
        <v>2.0763260025873223</v>
      </c>
      <c r="C62">
        <f>C58/C59</f>
        <v>1.1847366938890453</v>
      </c>
    </row>
    <row r="63" spans="1:3" x14ac:dyDescent="0.15">
      <c r="A63" t="s">
        <v>19</v>
      </c>
      <c r="B63" s="2">
        <f>B57/B12</f>
        <v>0.13339731285988482</v>
      </c>
      <c r="C63" s="2">
        <f>C57/C12</f>
        <v>0.14943240454076367</v>
      </c>
    </row>
    <row r="64" spans="1:3" x14ac:dyDescent="0.15">
      <c r="A64" t="s">
        <v>18</v>
      </c>
      <c r="B64" s="2">
        <f>B56/B12</f>
        <v>0.15451055662188098</v>
      </c>
      <c r="C64" s="2">
        <f>C56/C12</f>
        <v>7.4509803921568626E-2</v>
      </c>
    </row>
    <row r="65" spans="1:3" x14ac:dyDescent="0.15">
      <c r="A65" t="s">
        <v>17</v>
      </c>
      <c r="B65">
        <f>16.98-0.74</f>
        <v>16.240000000000002</v>
      </c>
      <c r="C65">
        <f>63.97-10.22</f>
        <v>53.75</v>
      </c>
    </row>
    <row r="66" spans="1:3" x14ac:dyDescent="0.15">
      <c r="A66" t="s">
        <v>16</v>
      </c>
      <c r="B66">
        <f>(12.8-B59)/1.6</f>
        <v>3.1687500000000002</v>
      </c>
      <c r="C66">
        <f>(C55-C59)/4.2</f>
        <v>-1.2428571428571424</v>
      </c>
    </row>
    <row r="67" spans="1:3" x14ac:dyDescent="0.15">
      <c r="A67" t="s">
        <v>15</v>
      </c>
      <c r="B67">
        <f>(B61-B59)/1.6</f>
        <v>4.3312499999999998</v>
      </c>
      <c r="C67">
        <f>(C61-C59)/4.2</f>
        <v>-0.16190476190476183</v>
      </c>
    </row>
    <row r="68" spans="1:3" x14ac:dyDescent="0.15">
      <c r="A68" t="s">
        <v>14</v>
      </c>
      <c r="B68">
        <f>B65/1.6</f>
        <v>10.15</v>
      </c>
      <c r="C68">
        <f>C65/4.2</f>
        <v>12.797619047619047</v>
      </c>
    </row>
    <row r="69" spans="1:3" x14ac:dyDescent="0.15">
      <c r="A69" s="1" t="s">
        <v>13</v>
      </c>
    </row>
    <row r="70" spans="1:3" x14ac:dyDescent="0.15">
      <c r="A70" t="s">
        <v>12</v>
      </c>
    </row>
    <row r="71" spans="1:3" x14ac:dyDescent="0.15">
      <c r="A71" t="s">
        <v>11</v>
      </c>
    </row>
    <row r="72" spans="1:3" x14ac:dyDescent="0.15">
      <c r="A72" t="s">
        <v>10</v>
      </c>
    </row>
    <row r="73" spans="1:3" x14ac:dyDescent="0.15">
      <c r="A73" t="s">
        <v>9</v>
      </c>
    </row>
    <row r="74" spans="1:3" x14ac:dyDescent="0.15">
      <c r="A74" t="s">
        <v>8</v>
      </c>
    </row>
    <row r="75" spans="1:3" x14ac:dyDescent="0.15">
      <c r="A75" t="s">
        <v>7</v>
      </c>
    </row>
    <row r="76" spans="1:3" x14ac:dyDescent="0.15">
      <c r="A76" t="s">
        <v>6</v>
      </c>
    </row>
    <row r="77" spans="1:3" x14ac:dyDescent="0.15">
      <c r="A77" t="s">
        <v>5</v>
      </c>
    </row>
    <row r="78" spans="1:3" x14ac:dyDescent="0.15">
      <c r="A78" t="s">
        <v>4</v>
      </c>
    </row>
    <row r="79" spans="1:3" x14ac:dyDescent="0.15">
      <c r="A79" t="s">
        <v>3</v>
      </c>
    </row>
    <row r="80" spans="1:3" x14ac:dyDescent="0.15">
      <c r="A80" t="s">
        <v>2</v>
      </c>
    </row>
    <row r="81" spans="1:3" x14ac:dyDescent="0.15">
      <c r="A81" t="s">
        <v>1</v>
      </c>
    </row>
    <row r="82" spans="1:3" x14ac:dyDescent="0.15">
      <c r="A82" t="s">
        <v>0</v>
      </c>
    </row>
    <row r="84" spans="1:3" x14ac:dyDescent="0.15">
      <c r="A84" s="1" t="s">
        <v>424</v>
      </c>
    </row>
    <row r="85" spans="1:3" x14ac:dyDescent="0.15">
      <c r="A85" t="s">
        <v>425</v>
      </c>
      <c r="B85" s="2">
        <f>B18</f>
        <v>0.10652591170825337</v>
      </c>
      <c r="C85" s="2">
        <f>C18</f>
        <v>0.13519091847265222</v>
      </c>
    </row>
    <row r="86" spans="1:3" x14ac:dyDescent="0.15">
      <c r="A86" t="s">
        <v>426</v>
      </c>
      <c r="B86" s="2">
        <f>1.1/16.92*2</f>
        <v>0.13002364066193853</v>
      </c>
      <c r="C86" s="2">
        <f>6.55/63.97</f>
        <v>0.1023917461309989</v>
      </c>
    </row>
    <row r="87" spans="1:3" x14ac:dyDescent="0.15">
      <c r="A87" t="s">
        <v>427</v>
      </c>
    </row>
    <row r="88" spans="1:3" x14ac:dyDescent="0.15">
      <c r="A88" t="s">
        <v>428</v>
      </c>
    </row>
    <row r="89" spans="1:3" x14ac:dyDescent="0.15">
      <c r="A89" t="s">
        <v>429</v>
      </c>
      <c r="B89">
        <v>0.59289999999999998</v>
      </c>
      <c r="C89">
        <v>1.22</v>
      </c>
    </row>
    <row r="90" spans="1:3" x14ac:dyDescent="0.15">
      <c r="A90" t="s">
        <v>430</v>
      </c>
      <c r="B90" s="2">
        <f>0.3172/7.92</f>
        <v>4.0050505050505052E-2</v>
      </c>
      <c r="C90" s="2">
        <f>1.4/38.37</f>
        <v>3.6486838676048995E-2</v>
      </c>
    </row>
    <row r="91" spans="1:3" x14ac:dyDescent="0.15">
      <c r="A91" t="s">
        <v>431</v>
      </c>
      <c r="B91" s="2">
        <f>0.3172/10.42</f>
        <v>3.0441458733205373E-2</v>
      </c>
      <c r="C91" s="2">
        <f>1.4/48.45</f>
        <v>2.8895768833849325E-2</v>
      </c>
    </row>
    <row r="92" spans="1:3" x14ac:dyDescent="0.15">
      <c r="A92" t="s">
        <v>432</v>
      </c>
    </row>
    <row r="93" spans="1:3" x14ac:dyDescent="0.15">
      <c r="A93" t="s">
        <v>433</v>
      </c>
      <c r="B93">
        <f>10.42/1.39</f>
        <v>7.4964028776978422</v>
      </c>
      <c r="C93">
        <f>48.45/7.24</f>
        <v>6.6919889502762429</v>
      </c>
    </row>
    <row r="94" spans="1:3" x14ac:dyDescent="0.15">
      <c r="A94" t="s">
        <v>434</v>
      </c>
    </row>
    <row r="95" spans="1:3" x14ac:dyDescent="0.15">
      <c r="A95" t="s">
        <v>435</v>
      </c>
    </row>
    <row r="96" spans="1:3" x14ac:dyDescent="0.15">
      <c r="A96" t="s">
        <v>436</v>
      </c>
    </row>
    <row r="97" spans="1:3" x14ac:dyDescent="0.15">
      <c r="A97" t="s">
        <v>437</v>
      </c>
    </row>
    <row r="98" spans="1:3" x14ac:dyDescent="0.15">
      <c r="A98" t="s">
        <v>438</v>
      </c>
    </row>
    <row r="99" spans="1:3" x14ac:dyDescent="0.15">
      <c r="A99" t="s">
        <v>439</v>
      </c>
    </row>
    <row r="100" spans="1:3" x14ac:dyDescent="0.15">
      <c r="A100" t="s">
        <v>440</v>
      </c>
    </row>
    <row r="101" spans="1:3" x14ac:dyDescent="0.15">
      <c r="A101" t="s">
        <v>441</v>
      </c>
      <c r="B101">
        <f>(16-1.39)/7.73</f>
        <v>1.8900388098318239</v>
      </c>
      <c r="C101">
        <f>C61/C59</f>
        <v>0.98085046465784287</v>
      </c>
    </row>
    <row r="102" spans="1:3" x14ac:dyDescent="0.15">
      <c r="A102" t="s">
        <v>442</v>
      </c>
      <c r="B102">
        <f>(16.98-0.73)/1.6</f>
        <v>10.15625</v>
      </c>
      <c r="C102">
        <f>C65/4.2</f>
        <v>12.797619047619047</v>
      </c>
    </row>
    <row r="103" spans="1:3" x14ac:dyDescent="0.15">
      <c r="A103" t="s">
        <v>443</v>
      </c>
      <c r="B103">
        <f>31.73/0.5929/2</f>
        <v>26.7583066284365</v>
      </c>
      <c r="C103">
        <f>92/C89/2</f>
        <v>37.704918032786885</v>
      </c>
    </row>
    <row r="104" spans="1:3" s="5" customFormat="1" ht="54" x14ac:dyDescent="0.15">
      <c r="A104" s="5" t="s">
        <v>449</v>
      </c>
      <c r="B104" s="35" t="s">
        <v>450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"/>
  <sheetViews>
    <sheetView topLeftCell="A88" workbookViewId="0">
      <selection activeCell="F107" sqref="F107"/>
    </sheetView>
  </sheetViews>
  <sheetFormatPr defaultRowHeight="13.5" x14ac:dyDescent="0.15"/>
  <cols>
    <col min="1" max="1" width="36" customWidth="1"/>
    <col min="2" max="2" width="11.25" customWidth="1"/>
    <col min="3" max="3" width="14.25" customWidth="1"/>
  </cols>
  <sheetData>
    <row r="1" spans="1:6" x14ac:dyDescent="0.15">
      <c r="A1" s="7" t="s">
        <v>74</v>
      </c>
      <c r="B1" s="7" t="s">
        <v>73</v>
      </c>
      <c r="C1" s="7" t="s">
        <v>72</v>
      </c>
      <c r="D1" s="7" t="s">
        <v>71</v>
      </c>
      <c r="E1" s="7" t="s">
        <v>70</v>
      </c>
      <c r="F1" s="7" t="s">
        <v>69</v>
      </c>
    </row>
    <row r="2" spans="1:6" x14ac:dyDescent="0.15">
      <c r="A2">
        <v>2011</v>
      </c>
      <c r="B2">
        <v>0</v>
      </c>
    </row>
    <row r="3" spans="1:6" x14ac:dyDescent="0.15">
      <c r="A3">
        <v>2012</v>
      </c>
      <c r="B3">
        <v>0.71689999999999998</v>
      </c>
    </row>
    <row r="4" spans="1:6" x14ac:dyDescent="0.15">
      <c r="A4">
        <v>2013</v>
      </c>
      <c r="B4">
        <v>1.2890999999999999</v>
      </c>
    </row>
    <row r="5" spans="1:6" x14ac:dyDescent="0.15">
      <c r="A5">
        <v>2014</v>
      </c>
      <c r="B5">
        <v>1.4975000000000001</v>
      </c>
    </row>
    <row r="6" spans="1:6" x14ac:dyDescent="0.15">
      <c r="A6">
        <v>2015</v>
      </c>
      <c r="B6">
        <v>1.5548</v>
      </c>
      <c r="C6">
        <f>0.375/0.75</f>
        <v>0.5</v>
      </c>
      <c r="D6">
        <v>35.549999999999997</v>
      </c>
      <c r="E6" s="2">
        <f>B6/D6</f>
        <v>4.3735583684950778E-2</v>
      </c>
      <c r="F6" s="2">
        <f>C6/D6</f>
        <v>1.4064697609001408E-2</v>
      </c>
    </row>
    <row r="7" spans="1:6" x14ac:dyDescent="0.15">
      <c r="A7">
        <v>2016</v>
      </c>
      <c r="B7">
        <f>0.2999*3</f>
        <v>0.89969999999999994</v>
      </c>
      <c r="C7">
        <v>0.48499999999999999</v>
      </c>
      <c r="D7">
        <v>52.13</v>
      </c>
      <c r="E7" s="2">
        <f>B7/D7/3</f>
        <v>5.75292537886054E-3</v>
      </c>
      <c r="F7" s="2">
        <f>C7/D7</f>
        <v>9.3036639171302504E-3</v>
      </c>
    </row>
    <row r="8" spans="1:6" x14ac:dyDescent="0.15">
      <c r="A8">
        <v>2017</v>
      </c>
      <c r="B8">
        <f>0.1935*3</f>
        <v>0.58050000000000002</v>
      </c>
      <c r="C8">
        <v>7.0000000000000007E-2</v>
      </c>
      <c r="D8">
        <v>32.24</v>
      </c>
      <c r="E8" s="2">
        <f>B8/D8/3</f>
        <v>6.0018610421836227E-3</v>
      </c>
      <c r="F8" s="2">
        <f>C8/D8</f>
        <v>2.1712158808933004E-3</v>
      </c>
    </row>
    <row r="10" spans="1:6" x14ac:dyDescent="0.15">
      <c r="A10" s="1" t="s">
        <v>313</v>
      </c>
      <c r="B10">
        <v>28.9</v>
      </c>
    </row>
    <row r="11" spans="1:6" x14ac:dyDescent="0.15">
      <c r="A11" s="1" t="s">
        <v>65</v>
      </c>
    </row>
    <row r="12" spans="1:6" x14ac:dyDescent="0.15">
      <c r="A12" t="s">
        <v>248</v>
      </c>
      <c r="B12">
        <v>0</v>
      </c>
    </row>
    <row r="13" spans="1:6" x14ac:dyDescent="0.15">
      <c r="A13" t="s">
        <v>63</v>
      </c>
      <c r="B13">
        <v>0</v>
      </c>
    </row>
    <row r="14" spans="1:6" x14ac:dyDescent="0.15">
      <c r="A14" t="s">
        <v>245</v>
      </c>
      <c r="B14">
        <v>116</v>
      </c>
    </row>
    <row r="15" spans="1:6" x14ac:dyDescent="0.15">
      <c r="A15" t="s">
        <v>289</v>
      </c>
    </row>
    <row r="16" spans="1:6" x14ac:dyDescent="0.15">
      <c r="A16" t="s">
        <v>288</v>
      </c>
    </row>
    <row r="17" spans="1:2" x14ac:dyDescent="0.15">
      <c r="A17" t="s">
        <v>59</v>
      </c>
    </row>
    <row r="18" spans="1:2" x14ac:dyDescent="0.15">
      <c r="A18" t="s">
        <v>58</v>
      </c>
    </row>
    <row r="19" spans="1:2" x14ac:dyDescent="0.15">
      <c r="A19" s="1" t="s">
        <v>57</v>
      </c>
    </row>
    <row r="20" spans="1:2" x14ac:dyDescent="0.15">
      <c r="A20" t="s">
        <v>56</v>
      </c>
      <c r="B20">
        <v>11.6</v>
      </c>
    </row>
    <row r="21" spans="1:2" x14ac:dyDescent="0.15">
      <c r="A21" t="s">
        <v>55</v>
      </c>
      <c r="B21">
        <v>0.1111</v>
      </c>
    </row>
    <row r="22" spans="1:2" x14ac:dyDescent="0.15">
      <c r="A22" t="s">
        <v>54</v>
      </c>
      <c r="B22">
        <v>0.79259999999999997</v>
      </c>
    </row>
    <row r="23" spans="1:2" x14ac:dyDescent="0.15">
      <c r="A23" t="s">
        <v>53</v>
      </c>
      <c r="B23">
        <v>0</v>
      </c>
    </row>
    <row r="24" spans="1:2" x14ac:dyDescent="0.15">
      <c r="A24" t="s">
        <v>52</v>
      </c>
      <c r="B24">
        <v>0</v>
      </c>
    </row>
    <row r="25" spans="1:2" x14ac:dyDescent="0.15">
      <c r="A25" t="s">
        <v>291</v>
      </c>
      <c r="B25">
        <v>0.78</v>
      </c>
    </row>
    <row r="26" spans="1:2" x14ac:dyDescent="0.15">
      <c r="A26" t="s">
        <v>50</v>
      </c>
      <c r="B26" s="2">
        <f>B22/B20</f>
        <v>6.8327586206896551E-2</v>
      </c>
    </row>
    <row r="27" spans="1:2" x14ac:dyDescent="0.15">
      <c r="A27" s="5" t="s">
        <v>49</v>
      </c>
      <c r="B27" s="2">
        <f>B22/13.06</f>
        <v>6.0689127105666152E-2</v>
      </c>
    </row>
    <row r="28" spans="1:2" x14ac:dyDescent="0.15">
      <c r="A28" s="1" t="s">
        <v>48</v>
      </c>
    </row>
    <row r="29" spans="1:2" x14ac:dyDescent="0.15">
      <c r="A29" t="s">
        <v>47</v>
      </c>
    </row>
    <row r="30" spans="1:2" x14ac:dyDescent="0.15">
      <c r="A30" t="s">
        <v>46</v>
      </c>
    </row>
    <row r="31" spans="1:2" x14ac:dyDescent="0.15">
      <c r="A31" t="s">
        <v>45</v>
      </c>
      <c r="B31">
        <v>0.19700000000000001</v>
      </c>
    </row>
    <row r="32" spans="1:2" x14ac:dyDescent="0.15">
      <c r="A32" s="4" t="s">
        <v>44</v>
      </c>
      <c r="B32" s="2">
        <f>B31/B10</f>
        <v>6.8166089965397934E-3</v>
      </c>
    </row>
    <row r="33" spans="1:2" x14ac:dyDescent="0.15">
      <c r="A33" t="s">
        <v>43</v>
      </c>
    </row>
    <row r="34" spans="1:2" x14ac:dyDescent="0.15">
      <c r="A34" t="s">
        <v>42</v>
      </c>
    </row>
    <row r="35" spans="1:2" x14ac:dyDescent="0.15">
      <c r="A35" s="3" t="s">
        <v>41</v>
      </c>
      <c r="B35" s="2">
        <f>B22/B14</f>
        <v>6.8327586206896546E-3</v>
      </c>
    </row>
    <row r="36" spans="1:2" x14ac:dyDescent="0.15">
      <c r="A36" t="s">
        <v>40</v>
      </c>
    </row>
    <row r="37" spans="1:2" x14ac:dyDescent="0.15">
      <c r="A37" s="1" t="s">
        <v>39</v>
      </c>
    </row>
    <row r="38" spans="1:2" x14ac:dyDescent="0.15">
      <c r="A38" t="s">
        <v>38</v>
      </c>
    </row>
    <row r="39" spans="1:2" x14ac:dyDescent="0.15">
      <c r="A39" t="s">
        <v>37</v>
      </c>
      <c r="B39">
        <f>SUM(B3:B8)/6</f>
        <v>1.08975</v>
      </c>
    </row>
    <row r="40" spans="1:2" x14ac:dyDescent="0.15">
      <c r="A40" t="s">
        <v>36</v>
      </c>
      <c r="B40" s="2">
        <f>B39/B10</f>
        <v>3.7707612456747405E-2</v>
      </c>
    </row>
    <row r="41" spans="1:2" x14ac:dyDescent="0.15">
      <c r="A41" s="1" t="s">
        <v>287</v>
      </c>
    </row>
    <row r="42" spans="1:2" x14ac:dyDescent="0.15">
      <c r="A42" t="s">
        <v>34</v>
      </c>
    </row>
    <row r="43" spans="1:2" x14ac:dyDescent="0.15">
      <c r="A43" s="1">
        <v>2011</v>
      </c>
    </row>
    <row r="44" spans="1:2" x14ac:dyDescent="0.15">
      <c r="A44" s="1">
        <v>2012</v>
      </c>
      <c r="B44">
        <v>0.71689999999999998</v>
      </c>
    </row>
    <row r="45" spans="1:2" x14ac:dyDescent="0.15">
      <c r="A45" s="1">
        <v>2013</v>
      </c>
      <c r="B45">
        <v>1.2890999999999999</v>
      </c>
    </row>
    <row r="46" spans="1:2" x14ac:dyDescent="0.15">
      <c r="A46" s="1">
        <v>2014</v>
      </c>
      <c r="B46">
        <v>1.5021</v>
      </c>
    </row>
    <row r="47" spans="1:2" x14ac:dyDescent="0.15">
      <c r="A47" s="1">
        <v>2015</v>
      </c>
      <c r="B47">
        <v>1.5548</v>
      </c>
    </row>
    <row r="48" spans="1:2" x14ac:dyDescent="0.15">
      <c r="A48" s="1">
        <v>2016</v>
      </c>
      <c r="B48">
        <v>0.3039</v>
      </c>
    </row>
    <row r="49" spans="1:2" x14ac:dyDescent="0.15">
      <c r="A49" s="1">
        <v>2017</v>
      </c>
      <c r="B49">
        <v>0.19700000000000001</v>
      </c>
    </row>
    <row r="50" spans="1:2" x14ac:dyDescent="0.15">
      <c r="A50" s="1" t="s">
        <v>320</v>
      </c>
      <c r="B50">
        <v>0.46</v>
      </c>
    </row>
    <row r="51" spans="1:2" x14ac:dyDescent="0.15">
      <c r="A51" s="1" t="s">
        <v>319</v>
      </c>
      <c r="B51">
        <v>0.68</v>
      </c>
    </row>
    <row r="52" spans="1:2" x14ac:dyDescent="0.15">
      <c r="A52" s="1" t="s">
        <v>33</v>
      </c>
    </row>
    <row r="53" spans="1:2" x14ac:dyDescent="0.15">
      <c r="A53" t="s">
        <v>32</v>
      </c>
    </row>
    <row r="54" spans="1:2" x14ac:dyDescent="0.15">
      <c r="A54" s="1">
        <v>2011</v>
      </c>
    </row>
    <row r="55" spans="1:2" x14ac:dyDescent="0.15">
      <c r="A55" s="1">
        <v>2012</v>
      </c>
    </row>
    <row r="56" spans="1:2" x14ac:dyDescent="0.15">
      <c r="A56" s="1">
        <v>2013</v>
      </c>
    </row>
    <row r="57" spans="1:2" x14ac:dyDescent="0.15">
      <c r="A57" s="1">
        <v>2014</v>
      </c>
    </row>
    <row r="58" spans="1:2" x14ac:dyDescent="0.15">
      <c r="A58" s="1">
        <v>2015</v>
      </c>
    </row>
    <row r="59" spans="1:2" x14ac:dyDescent="0.15">
      <c r="A59" s="1">
        <v>2016</v>
      </c>
      <c r="B59">
        <v>0.48399999999999999</v>
      </c>
    </row>
    <row r="60" spans="1:2" x14ac:dyDescent="0.15">
      <c r="A60" s="1">
        <v>2017</v>
      </c>
      <c r="B60">
        <v>7.0000000000000007E-2</v>
      </c>
    </row>
    <row r="61" spans="1:2" x14ac:dyDescent="0.15">
      <c r="A61" t="s">
        <v>31</v>
      </c>
    </row>
    <row r="62" spans="1:2" x14ac:dyDescent="0.15">
      <c r="A62" s="1">
        <v>2011</v>
      </c>
    </row>
    <row r="63" spans="1:2" x14ac:dyDescent="0.15">
      <c r="A63" s="1">
        <v>2012</v>
      </c>
    </row>
    <row r="64" spans="1:2" x14ac:dyDescent="0.15">
      <c r="A64" s="1">
        <v>2013</v>
      </c>
    </row>
    <row r="65" spans="1:2" x14ac:dyDescent="0.15">
      <c r="A65" s="1">
        <v>2014</v>
      </c>
    </row>
    <row r="66" spans="1:2" x14ac:dyDescent="0.15">
      <c r="A66" s="1">
        <v>2015</v>
      </c>
    </row>
    <row r="67" spans="1:2" x14ac:dyDescent="0.15">
      <c r="A67" s="1">
        <v>2016</v>
      </c>
      <c r="B67" s="2">
        <f>B59/B10</f>
        <v>1.6747404844290659E-2</v>
      </c>
    </row>
    <row r="68" spans="1:2" x14ac:dyDescent="0.15">
      <c r="A68" s="1">
        <v>2017</v>
      </c>
      <c r="B68" s="2">
        <f>B60/B10</f>
        <v>2.4221453287197234E-3</v>
      </c>
    </row>
    <row r="69" spans="1:2" x14ac:dyDescent="0.15">
      <c r="A69" t="s">
        <v>212</v>
      </c>
    </row>
    <row r="70" spans="1:2" x14ac:dyDescent="0.15">
      <c r="A70" t="s">
        <v>286</v>
      </c>
    </row>
    <row r="71" spans="1:2" x14ac:dyDescent="0.15">
      <c r="A71" s="1" t="s">
        <v>28</v>
      </c>
    </row>
    <row r="72" spans="1:2" x14ac:dyDescent="0.15">
      <c r="A72" t="s">
        <v>27</v>
      </c>
      <c r="B72">
        <v>12.746</v>
      </c>
    </row>
    <row r="73" spans="1:2" x14ac:dyDescent="0.15">
      <c r="A73" t="s">
        <v>26</v>
      </c>
      <c r="B73">
        <v>4.0566000000000004</v>
      </c>
    </row>
    <row r="74" spans="1:2" x14ac:dyDescent="0.15">
      <c r="A74" t="s">
        <v>25</v>
      </c>
      <c r="B74">
        <v>8.4599999999999995E-2</v>
      </c>
    </row>
    <row r="75" spans="1:2" x14ac:dyDescent="0.15">
      <c r="A75" t="s">
        <v>99</v>
      </c>
      <c r="B75">
        <v>18.167100000000001</v>
      </c>
    </row>
    <row r="76" spans="1:2" x14ac:dyDescent="0.15">
      <c r="A76" t="s">
        <v>98</v>
      </c>
      <c r="B76">
        <v>11.135</v>
      </c>
    </row>
    <row r="77" spans="1:2" x14ac:dyDescent="0.15">
      <c r="A77" t="s">
        <v>203</v>
      </c>
      <c r="B77">
        <v>0</v>
      </c>
    </row>
    <row r="78" spans="1:2" x14ac:dyDescent="0.15">
      <c r="A78" t="s">
        <v>96</v>
      </c>
      <c r="B78">
        <f>B75-B74</f>
        <v>18.082500000000003</v>
      </c>
    </row>
    <row r="79" spans="1:2" x14ac:dyDescent="0.15">
      <c r="A79" t="s">
        <v>95</v>
      </c>
      <c r="B79">
        <f>B75/B76</f>
        <v>1.6315312079030087</v>
      </c>
    </row>
    <row r="80" spans="1:2" x14ac:dyDescent="0.15">
      <c r="A80" t="s">
        <v>199</v>
      </c>
      <c r="B80" s="2">
        <f>B74/B20</f>
        <v>7.2931034482758622E-3</v>
      </c>
    </row>
    <row r="81" spans="1:5" x14ac:dyDescent="0.15">
      <c r="A81" t="s">
        <v>18</v>
      </c>
      <c r="B81" s="2">
        <f>B73/B20</f>
        <v>0.34970689655172421</v>
      </c>
    </row>
    <row r="82" spans="1:5" x14ac:dyDescent="0.15">
      <c r="A82" t="s">
        <v>292</v>
      </c>
      <c r="B82">
        <f>13.0671-4.7</f>
        <v>8.3671000000000006</v>
      </c>
    </row>
    <row r="83" spans="1:5" x14ac:dyDescent="0.15">
      <c r="A83" t="s">
        <v>91</v>
      </c>
      <c r="B83">
        <f>(B72-13.5)/4.04</f>
        <v>-0.18663366336633652</v>
      </c>
    </row>
    <row r="84" spans="1:5" x14ac:dyDescent="0.15">
      <c r="A84" t="s">
        <v>90</v>
      </c>
      <c r="B84">
        <f>(B78-13.5091)/4.04</f>
        <v>1.1320297029702977</v>
      </c>
    </row>
    <row r="85" spans="1:5" x14ac:dyDescent="0.15">
      <c r="A85" t="s">
        <v>89</v>
      </c>
      <c r="B85">
        <f>B82/4.04</f>
        <v>2.0710643564356439</v>
      </c>
    </row>
    <row r="87" spans="1:5" x14ac:dyDescent="0.15">
      <c r="A87" s="1" t="s">
        <v>192</v>
      </c>
      <c r="B87" s="1" t="s">
        <v>300</v>
      </c>
      <c r="C87" s="1" t="s">
        <v>317</v>
      </c>
      <c r="D87" s="1" t="s">
        <v>318</v>
      </c>
      <c r="E87" s="1" t="s">
        <v>317</v>
      </c>
    </row>
    <row r="88" spans="1:5" x14ac:dyDescent="0.15">
      <c r="A88">
        <v>2017</v>
      </c>
      <c r="B88">
        <v>11.62</v>
      </c>
      <c r="C88">
        <f t="shared" ref="C88:C93" si="0">B88/B89</f>
        <v>1.3702830188679245</v>
      </c>
      <c r="D88">
        <v>11.27</v>
      </c>
      <c r="E88">
        <f t="shared" ref="E88:E93" si="1">D88/D89</f>
        <v>1.4790026246719159</v>
      </c>
    </row>
    <row r="89" spans="1:5" x14ac:dyDescent="0.15">
      <c r="A89">
        <v>2016</v>
      </c>
      <c r="B89">
        <v>8.48</v>
      </c>
      <c r="C89">
        <f t="shared" si="0"/>
        <v>1.3788617886178862</v>
      </c>
      <c r="D89">
        <v>7.62</v>
      </c>
      <c r="E89">
        <f t="shared" si="1"/>
        <v>1.5029585798816567</v>
      </c>
    </row>
    <row r="90" spans="1:5" x14ac:dyDescent="0.15">
      <c r="A90">
        <v>2015</v>
      </c>
      <c r="B90">
        <v>6.15</v>
      </c>
      <c r="C90">
        <f t="shared" si="0"/>
        <v>1.360619469026549</v>
      </c>
      <c r="D90">
        <v>5.07</v>
      </c>
      <c r="E90">
        <f t="shared" si="1"/>
        <v>1.4362606232294619</v>
      </c>
    </row>
    <row r="91" spans="1:5" x14ac:dyDescent="0.15">
      <c r="A91">
        <v>2014</v>
      </c>
      <c r="B91">
        <v>4.5199999999999996</v>
      </c>
      <c r="C91">
        <f t="shared" si="0"/>
        <v>1.3452380952380951</v>
      </c>
      <c r="D91">
        <v>3.53</v>
      </c>
      <c r="E91">
        <f t="shared" si="1"/>
        <v>1.3682170542635659</v>
      </c>
    </row>
    <row r="92" spans="1:5" x14ac:dyDescent="0.15">
      <c r="A92">
        <v>2013</v>
      </c>
      <c r="B92">
        <v>3.36</v>
      </c>
      <c r="C92">
        <f t="shared" si="0"/>
        <v>1.3333333333333333</v>
      </c>
      <c r="D92">
        <v>2.58</v>
      </c>
      <c r="E92">
        <f t="shared" si="1"/>
        <v>1.3367875647668395</v>
      </c>
    </row>
    <row r="93" spans="1:5" x14ac:dyDescent="0.15">
      <c r="A93">
        <v>2012</v>
      </c>
      <c r="B93">
        <v>2.52</v>
      </c>
      <c r="C93">
        <f t="shared" si="0"/>
        <v>2.3773584905660377</v>
      </c>
      <c r="D93">
        <v>1.93</v>
      </c>
      <c r="E93">
        <f t="shared" si="1"/>
        <v>1.892156862745098</v>
      </c>
    </row>
    <row r="94" spans="1:5" x14ac:dyDescent="0.15">
      <c r="A94">
        <v>2011</v>
      </c>
      <c r="B94">
        <v>1.06</v>
      </c>
      <c r="D94">
        <v>1.02</v>
      </c>
    </row>
    <row r="97" spans="1:6" x14ac:dyDescent="0.15">
      <c r="B97">
        <f>85.48/2.9</f>
        <v>29.475862068965519</v>
      </c>
    </row>
    <row r="98" spans="1:6" x14ac:dyDescent="0.15">
      <c r="B98">
        <v>2016</v>
      </c>
      <c r="C98">
        <v>2017</v>
      </c>
    </row>
    <row r="99" spans="1:6" x14ac:dyDescent="0.15">
      <c r="A99" s="1" t="s">
        <v>316</v>
      </c>
      <c r="B99">
        <v>1.8599999999999998E-2</v>
      </c>
      <c r="C99">
        <v>9.6000000000000002E-2</v>
      </c>
    </row>
    <row r="100" spans="1:6" x14ac:dyDescent="0.15">
      <c r="A100" s="1" t="s">
        <v>315</v>
      </c>
      <c r="B100">
        <v>2.3999999999999998E-3</v>
      </c>
      <c r="C100">
        <v>3.8999999999999998E-3</v>
      </c>
    </row>
    <row r="101" spans="1:6" x14ac:dyDescent="0.15">
      <c r="A101" s="1" t="s">
        <v>314</v>
      </c>
      <c r="B101" s="2">
        <f>(B99+B100)/(3.4+0.097)</f>
        <v>6.0051472690877891E-3</v>
      </c>
      <c r="C101" s="2">
        <f>(C99+C100)/(3.4+0.097)</f>
        <v>2.8567343437231916E-2</v>
      </c>
    </row>
    <row r="102" spans="1:6" x14ac:dyDescent="0.15">
      <c r="A102" s="1"/>
    </row>
    <row r="103" spans="1:6" x14ac:dyDescent="0.15">
      <c r="A103" s="1" t="s">
        <v>192</v>
      </c>
      <c r="B103" s="1" t="s">
        <v>392</v>
      </c>
      <c r="C103" s="1" t="s">
        <v>393</v>
      </c>
      <c r="D103" s="1" t="s">
        <v>394</v>
      </c>
      <c r="E103" s="1" t="s">
        <v>396</v>
      </c>
      <c r="F103" s="1"/>
    </row>
    <row r="104" spans="1:6" x14ac:dyDescent="0.15">
      <c r="A104">
        <v>2017</v>
      </c>
      <c r="B104">
        <v>0.68</v>
      </c>
      <c r="C104" s="26">
        <f>B104/D104</f>
        <v>0.16831683168316833</v>
      </c>
      <c r="D104">
        <v>4.04</v>
      </c>
    </row>
    <row r="105" spans="1:6" x14ac:dyDescent="0.15">
      <c r="A105">
        <v>2016</v>
      </c>
      <c r="B105">
        <v>1.07</v>
      </c>
      <c r="C105" s="26">
        <f t="shared" ref="C105:C108" si="2">B105/D105</f>
        <v>0.26485148514851486</v>
      </c>
      <c r="D105">
        <v>4.04</v>
      </c>
    </row>
    <row r="106" spans="1:6" x14ac:dyDescent="0.15">
      <c r="A106">
        <v>2015</v>
      </c>
      <c r="B106">
        <v>1.0900000000000001</v>
      </c>
      <c r="C106" s="26">
        <f t="shared" si="2"/>
        <v>0.26980198019801982</v>
      </c>
      <c r="D106">
        <v>4.04</v>
      </c>
    </row>
    <row r="107" spans="1:6" x14ac:dyDescent="0.15">
      <c r="A107">
        <v>2014</v>
      </c>
      <c r="B107">
        <v>1.01</v>
      </c>
      <c r="C107" s="26">
        <f t="shared" si="2"/>
        <v>0.25</v>
      </c>
      <c r="D107">
        <v>4.04</v>
      </c>
    </row>
    <row r="108" spans="1:6" x14ac:dyDescent="0.15">
      <c r="A108">
        <v>2013</v>
      </c>
      <c r="B108">
        <v>0.82</v>
      </c>
      <c r="C108" s="26">
        <f t="shared" si="2"/>
        <v>0.20297029702970296</v>
      </c>
      <c r="D108">
        <v>4.04</v>
      </c>
    </row>
    <row r="109" spans="1:6" x14ac:dyDescent="0.15">
      <c r="A109" s="29" t="s">
        <v>395</v>
      </c>
      <c r="C109" s="26">
        <f>SUM(C104:C108)/5</f>
        <v>0.23118811881188123</v>
      </c>
      <c r="E109" s="2">
        <f>C109/27.11</f>
        <v>8.5277801110985336E-3</v>
      </c>
    </row>
    <row r="111" spans="1:6" x14ac:dyDescent="0.15">
      <c r="A111" s="1" t="s">
        <v>13</v>
      </c>
    </row>
    <row r="112" spans="1:6" x14ac:dyDescent="0.15">
      <c r="A112" t="s">
        <v>87</v>
      </c>
      <c r="B112">
        <f>6639/53054</f>
        <v>0.12513665322124629</v>
      </c>
    </row>
    <row r="113" spans="1:2" x14ac:dyDescent="0.15">
      <c r="A113" t="s">
        <v>86</v>
      </c>
    </row>
    <row r="114" spans="1:2" x14ac:dyDescent="0.15">
      <c r="A114" t="s">
        <v>85</v>
      </c>
    </row>
    <row r="115" spans="1:2" x14ac:dyDescent="0.15">
      <c r="A115" t="s">
        <v>84</v>
      </c>
    </row>
    <row r="116" spans="1:2" x14ac:dyDescent="0.15">
      <c r="A116" t="s">
        <v>83</v>
      </c>
    </row>
    <row r="117" spans="1:2" x14ac:dyDescent="0.15">
      <c r="A117" t="s">
        <v>82</v>
      </c>
    </row>
    <row r="118" spans="1:2" x14ac:dyDescent="0.15">
      <c r="A118" t="s">
        <v>81</v>
      </c>
    </row>
    <row r="119" spans="1:2" x14ac:dyDescent="0.15">
      <c r="A119" t="s">
        <v>5</v>
      </c>
    </row>
    <row r="120" spans="1:2" x14ac:dyDescent="0.15">
      <c r="A120" t="s">
        <v>79</v>
      </c>
    </row>
    <row r="121" spans="1:2" x14ac:dyDescent="0.15">
      <c r="A121" t="s">
        <v>78</v>
      </c>
    </row>
    <row r="122" spans="1:2" x14ac:dyDescent="0.15">
      <c r="A122" t="s">
        <v>77</v>
      </c>
    </row>
    <row r="123" spans="1:2" x14ac:dyDescent="0.15">
      <c r="A123" t="s">
        <v>1</v>
      </c>
    </row>
    <row r="124" spans="1:2" x14ac:dyDescent="0.15">
      <c r="A124" t="s">
        <v>0</v>
      </c>
    </row>
    <row r="125" spans="1:2" x14ac:dyDescent="0.15">
      <c r="B125">
        <f>13.5*0.05</f>
        <v>0.67500000000000004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"/>
  <sheetViews>
    <sheetView workbookViewId="0">
      <selection activeCell="G15" sqref="G15"/>
    </sheetView>
  </sheetViews>
  <sheetFormatPr defaultRowHeight="13.5" x14ac:dyDescent="0.15"/>
  <cols>
    <col min="1" max="1" width="24.125" customWidth="1"/>
    <col min="2" max="2" width="11.5" customWidth="1"/>
    <col min="4" max="4" width="14.375" customWidth="1"/>
  </cols>
  <sheetData>
    <row r="1" spans="1:4" x14ac:dyDescent="0.15">
      <c r="A1" s="7" t="s">
        <v>74</v>
      </c>
      <c r="B1" s="7" t="s">
        <v>73</v>
      </c>
      <c r="C1" s="7" t="s">
        <v>72</v>
      </c>
      <c r="D1" s="7" t="s">
        <v>257</v>
      </c>
    </row>
    <row r="2" spans="1:4" x14ac:dyDescent="0.15">
      <c r="A2">
        <v>2013</v>
      </c>
      <c r="B2" s="12" t="s">
        <v>312</v>
      </c>
    </row>
    <row r="3" spans="1:4" x14ac:dyDescent="0.15">
      <c r="A3">
        <v>2014</v>
      </c>
      <c r="B3">
        <v>0.75760000000000005</v>
      </c>
      <c r="C3" s="12"/>
    </row>
    <row r="4" spans="1:4" x14ac:dyDescent="0.15">
      <c r="A4">
        <v>2015</v>
      </c>
      <c r="B4">
        <v>0.85909999999999997</v>
      </c>
    </row>
    <row r="5" spans="1:4" x14ac:dyDescent="0.15">
      <c r="A5">
        <v>2016</v>
      </c>
      <c r="B5">
        <v>0.97219999999999995</v>
      </c>
    </row>
    <row r="6" spans="1:4" x14ac:dyDescent="0.15">
      <c r="A6">
        <v>2017</v>
      </c>
      <c r="B6">
        <v>1.8069</v>
      </c>
    </row>
    <row r="7" spans="1:4" x14ac:dyDescent="0.15">
      <c r="A7" s="1" t="s">
        <v>313</v>
      </c>
      <c r="B7">
        <v>69</v>
      </c>
    </row>
    <row r="8" spans="1:4" x14ac:dyDescent="0.15">
      <c r="A8" s="1" t="s">
        <v>65</v>
      </c>
    </row>
    <row r="9" spans="1:4" x14ac:dyDescent="0.15">
      <c r="A9" t="s">
        <v>248</v>
      </c>
    </row>
    <row r="10" spans="1:4" x14ac:dyDescent="0.15">
      <c r="A10" t="s">
        <v>63</v>
      </c>
    </row>
    <row r="11" spans="1:4" x14ac:dyDescent="0.15">
      <c r="A11" t="s">
        <v>245</v>
      </c>
      <c r="B11">
        <v>36.020000000000003</v>
      </c>
    </row>
    <row r="12" spans="1:4" x14ac:dyDescent="0.15">
      <c r="A12" t="s">
        <v>289</v>
      </c>
      <c r="B12">
        <f>SUM(B9:B11)</f>
        <v>36.020000000000003</v>
      </c>
    </row>
    <row r="13" spans="1:4" x14ac:dyDescent="0.15">
      <c r="A13" t="s">
        <v>288</v>
      </c>
    </row>
    <row r="14" spans="1:4" x14ac:dyDescent="0.15">
      <c r="A14" t="s">
        <v>59</v>
      </c>
    </row>
    <row r="15" spans="1:4" x14ac:dyDescent="0.15">
      <c r="A15" t="s">
        <v>58</v>
      </c>
    </row>
    <row r="16" spans="1:4" x14ac:dyDescent="0.15">
      <c r="A16" s="1" t="s">
        <v>57</v>
      </c>
    </row>
    <row r="17" spans="1:2" x14ac:dyDescent="0.15">
      <c r="A17" t="s">
        <v>56</v>
      </c>
      <c r="B17">
        <v>2.8391000000000002</v>
      </c>
    </row>
    <row r="18" spans="1:2" x14ac:dyDescent="0.15">
      <c r="A18" t="s">
        <v>55</v>
      </c>
    </row>
    <row r="19" spans="1:2" x14ac:dyDescent="0.15">
      <c r="A19" t="s">
        <v>54</v>
      </c>
      <c r="B19">
        <v>1.0063</v>
      </c>
    </row>
    <row r="20" spans="1:2" x14ac:dyDescent="0.15">
      <c r="A20" t="s">
        <v>53</v>
      </c>
    </row>
    <row r="21" spans="1:2" x14ac:dyDescent="0.15">
      <c r="A21" t="s">
        <v>52</v>
      </c>
    </row>
    <row r="22" spans="1:2" x14ac:dyDescent="0.15">
      <c r="A22" t="s">
        <v>291</v>
      </c>
      <c r="B22">
        <v>0.86119999999999997</v>
      </c>
    </row>
    <row r="23" spans="1:2" x14ac:dyDescent="0.15">
      <c r="A23" t="s">
        <v>50</v>
      </c>
      <c r="B23">
        <f>B19/B17</f>
        <v>0.35444330949948927</v>
      </c>
    </row>
    <row r="24" spans="1:2" x14ac:dyDescent="0.15">
      <c r="A24" s="5" t="s">
        <v>49</v>
      </c>
      <c r="B24">
        <f>B19/B12</f>
        <v>2.793725707940033E-2</v>
      </c>
    </row>
    <row r="25" spans="1:2" x14ac:dyDescent="0.15">
      <c r="A25" s="1" t="s">
        <v>48</v>
      </c>
    </row>
    <row r="26" spans="1:2" x14ac:dyDescent="0.15">
      <c r="A26" t="s">
        <v>47</v>
      </c>
    </row>
    <row r="27" spans="1:2" x14ac:dyDescent="0.15">
      <c r="A27" t="s">
        <v>46</v>
      </c>
    </row>
    <row r="28" spans="1:2" x14ac:dyDescent="0.15">
      <c r="A28" t="s">
        <v>45</v>
      </c>
      <c r="B28">
        <v>1.806</v>
      </c>
    </row>
    <row r="29" spans="1:2" x14ac:dyDescent="0.15">
      <c r="A29" s="4" t="s">
        <v>44</v>
      </c>
      <c r="B29">
        <f>B28/B7</f>
        <v>2.6173913043478263E-2</v>
      </c>
    </row>
    <row r="30" spans="1:2" x14ac:dyDescent="0.15">
      <c r="A30" t="s">
        <v>43</v>
      </c>
    </row>
    <row r="31" spans="1:2" x14ac:dyDescent="0.15">
      <c r="A31" t="s">
        <v>42</v>
      </c>
    </row>
    <row r="32" spans="1:2" x14ac:dyDescent="0.15">
      <c r="A32" s="3" t="s">
        <v>41</v>
      </c>
    </row>
    <row r="33" spans="1:2" x14ac:dyDescent="0.15">
      <c r="A33" t="s">
        <v>40</v>
      </c>
    </row>
    <row r="34" spans="1:2" x14ac:dyDescent="0.15">
      <c r="A34" s="1" t="s">
        <v>39</v>
      </c>
    </row>
    <row r="35" spans="1:2" x14ac:dyDescent="0.15">
      <c r="A35" t="s">
        <v>38</v>
      </c>
    </row>
    <row r="36" spans="1:2" x14ac:dyDescent="0.15">
      <c r="A36" t="s">
        <v>37</v>
      </c>
      <c r="B36">
        <f>SUM(B3:B6)/4</f>
        <v>1.0989499999999999</v>
      </c>
    </row>
    <row r="37" spans="1:2" x14ac:dyDescent="0.15">
      <c r="A37" t="s">
        <v>36</v>
      </c>
      <c r="B37">
        <f>B36/69</f>
        <v>1.5926811594202898E-2</v>
      </c>
    </row>
    <row r="38" spans="1:2" x14ac:dyDescent="0.15">
      <c r="A38" s="1" t="s">
        <v>287</v>
      </c>
    </row>
    <row r="39" spans="1:2" x14ac:dyDescent="0.15">
      <c r="A39" t="s">
        <v>34</v>
      </c>
    </row>
    <row r="40" spans="1:2" x14ac:dyDescent="0.15">
      <c r="A40" s="1">
        <v>2011</v>
      </c>
    </row>
    <row r="41" spans="1:2" x14ac:dyDescent="0.15">
      <c r="A41" s="1">
        <v>2012</v>
      </c>
    </row>
    <row r="42" spans="1:2" x14ac:dyDescent="0.15">
      <c r="A42" s="1">
        <v>2013</v>
      </c>
    </row>
    <row r="43" spans="1:2" x14ac:dyDescent="0.15">
      <c r="A43" s="1">
        <v>2014</v>
      </c>
      <c r="B43">
        <v>0.75760000000000005</v>
      </c>
    </row>
    <row r="44" spans="1:2" x14ac:dyDescent="0.15">
      <c r="A44" s="1">
        <v>2015</v>
      </c>
      <c r="B44">
        <v>0.85909999999999997</v>
      </c>
    </row>
    <row r="45" spans="1:2" x14ac:dyDescent="0.15">
      <c r="A45" s="1">
        <v>2016</v>
      </c>
      <c r="B45">
        <v>0.97219999999999995</v>
      </c>
    </row>
    <row r="46" spans="1:2" x14ac:dyDescent="0.15">
      <c r="A46" s="1">
        <v>2017</v>
      </c>
      <c r="B46">
        <v>1.8069</v>
      </c>
    </row>
    <row r="47" spans="1:2" x14ac:dyDescent="0.15">
      <c r="A47" s="1" t="s">
        <v>33</v>
      </c>
    </row>
    <row r="48" spans="1:2" x14ac:dyDescent="0.15">
      <c r="A48" t="s">
        <v>32</v>
      </c>
      <c r="B48">
        <v>0.2</v>
      </c>
    </row>
    <row r="49" spans="1:2" x14ac:dyDescent="0.15">
      <c r="A49" t="s">
        <v>31</v>
      </c>
    </row>
    <row r="50" spans="1:2" x14ac:dyDescent="0.15">
      <c r="A50" t="s">
        <v>212</v>
      </c>
    </row>
    <row r="51" spans="1:2" x14ac:dyDescent="0.15">
      <c r="A51" t="s">
        <v>286</v>
      </c>
    </row>
    <row r="52" spans="1:2" x14ac:dyDescent="0.15">
      <c r="A52" s="1" t="s">
        <v>28</v>
      </c>
    </row>
    <row r="53" spans="1:2" x14ac:dyDescent="0.15">
      <c r="A53" t="s">
        <v>27</v>
      </c>
      <c r="B53">
        <v>0.72950000000000004</v>
      </c>
    </row>
    <row r="54" spans="1:2" x14ac:dyDescent="0.15">
      <c r="A54" t="s">
        <v>26</v>
      </c>
      <c r="B54">
        <v>0.94159999999999999</v>
      </c>
    </row>
    <row r="55" spans="1:2" x14ac:dyDescent="0.15">
      <c r="A55" t="s">
        <v>25</v>
      </c>
      <c r="B55">
        <v>0.63519999999999999</v>
      </c>
    </row>
    <row r="56" spans="1:2" x14ac:dyDescent="0.15">
      <c r="A56" t="s">
        <v>99</v>
      </c>
      <c r="B56">
        <v>3.9060000000000001</v>
      </c>
    </row>
    <row r="57" spans="1:2" x14ac:dyDescent="0.15">
      <c r="A57" t="s">
        <v>98</v>
      </c>
      <c r="B57">
        <v>0.80210000000000004</v>
      </c>
    </row>
    <row r="58" spans="1:2" x14ac:dyDescent="0.15">
      <c r="A58" t="s">
        <v>203</v>
      </c>
    </row>
    <row r="59" spans="1:2" x14ac:dyDescent="0.15">
      <c r="A59" t="s">
        <v>96</v>
      </c>
      <c r="B59">
        <f>B56-B55</f>
        <v>3.2708000000000004</v>
      </c>
    </row>
    <row r="60" spans="1:2" x14ac:dyDescent="0.15">
      <c r="A60" t="s">
        <v>95</v>
      </c>
      <c r="B60">
        <f>B56/B57</f>
        <v>4.8697169928936539</v>
      </c>
    </row>
    <row r="61" spans="1:2" x14ac:dyDescent="0.15">
      <c r="A61" t="s">
        <v>199</v>
      </c>
      <c r="B61">
        <f>B55/B17</f>
        <v>0.22373287309358597</v>
      </c>
    </row>
    <row r="62" spans="1:2" x14ac:dyDescent="0.15">
      <c r="A62" t="s">
        <v>18</v>
      </c>
      <c r="B62">
        <f>B54/B17</f>
        <v>0.33165439752034093</v>
      </c>
    </row>
    <row r="63" spans="1:2" x14ac:dyDescent="0.15">
      <c r="A63" t="s">
        <v>292</v>
      </c>
      <c r="B63">
        <v>4.7347999999999999</v>
      </c>
    </row>
    <row r="64" spans="1:2" x14ac:dyDescent="0.15">
      <c r="A64" t="s">
        <v>91</v>
      </c>
      <c r="B64">
        <f>(B53-B57)/0.52</f>
        <v>-0.13961538461538461</v>
      </c>
    </row>
    <row r="65" spans="1:2" x14ac:dyDescent="0.15">
      <c r="A65" t="s">
        <v>90</v>
      </c>
      <c r="B65">
        <f>(B59-B57)/0.52</f>
        <v>4.7475000000000005</v>
      </c>
    </row>
    <row r="66" spans="1:2" x14ac:dyDescent="0.15">
      <c r="A66" t="s">
        <v>89</v>
      </c>
      <c r="B66">
        <f>(B63-B57)/0.52</f>
        <v>7.5628846153846148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topLeftCell="A70" zoomScaleNormal="100" workbookViewId="0">
      <selection activeCell="B74" sqref="B74"/>
    </sheetView>
  </sheetViews>
  <sheetFormatPr defaultRowHeight="13.5" x14ac:dyDescent="0.15"/>
  <cols>
    <col min="1" max="1" width="39" customWidth="1"/>
    <col min="2" max="2" width="17.75" customWidth="1"/>
    <col min="3" max="3" width="15.875" customWidth="1"/>
    <col min="4" max="5" width="16" customWidth="1"/>
    <col min="6" max="6" width="12.125" customWidth="1"/>
    <col min="7" max="7" width="11.25" customWidth="1"/>
    <col min="8" max="8" width="10.875" customWidth="1"/>
    <col min="9" max="9" width="11.625" customWidth="1"/>
    <col min="10" max="10" width="12.5" customWidth="1"/>
    <col min="11" max="11" width="12.125" customWidth="1"/>
    <col min="12" max="12" width="14.5" customWidth="1"/>
    <col min="13" max="13" width="15" customWidth="1"/>
    <col min="14" max="14" width="11.25" customWidth="1"/>
  </cols>
  <sheetData>
    <row r="1" spans="1:15" x14ac:dyDescent="0.15">
      <c r="A1" s="7" t="s">
        <v>74</v>
      </c>
      <c r="B1" s="7" t="s">
        <v>73</v>
      </c>
      <c r="C1" s="7" t="s">
        <v>72</v>
      </c>
      <c r="D1" s="7" t="s">
        <v>257</v>
      </c>
    </row>
    <row r="2" spans="1:15" x14ac:dyDescent="0.15">
      <c r="A2">
        <v>2013</v>
      </c>
      <c r="B2" s="12" t="s">
        <v>312</v>
      </c>
    </row>
    <row r="3" spans="1:15" x14ac:dyDescent="0.15">
      <c r="A3">
        <v>2014</v>
      </c>
      <c r="B3">
        <v>0.92</v>
      </c>
      <c r="C3" s="12" t="s">
        <v>312</v>
      </c>
      <c r="D3" t="s">
        <v>311</v>
      </c>
    </row>
    <row r="4" spans="1:15" x14ac:dyDescent="0.15">
      <c r="A4">
        <v>2015</v>
      </c>
      <c r="B4">
        <v>0.89</v>
      </c>
      <c r="C4">
        <v>0.2</v>
      </c>
      <c r="D4" t="s">
        <v>310</v>
      </c>
    </row>
    <row r="5" spans="1:15" x14ac:dyDescent="0.15">
      <c r="A5">
        <v>2016</v>
      </c>
      <c r="B5">
        <v>0.92</v>
      </c>
      <c r="C5">
        <v>0.30099999999999999</v>
      </c>
      <c r="D5" t="s">
        <v>309</v>
      </c>
      <c r="E5" t="s">
        <v>308</v>
      </c>
      <c r="F5" t="s">
        <v>307</v>
      </c>
    </row>
    <row r="6" spans="1:15" x14ac:dyDescent="0.15">
      <c r="A6">
        <v>2017</v>
      </c>
      <c r="B6">
        <v>0.05</v>
      </c>
      <c r="C6">
        <v>2.5000000000000001E-2</v>
      </c>
      <c r="D6" t="s">
        <v>306</v>
      </c>
    </row>
    <row r="10" spans="1:15" x14ac:dyDescent="0.15">
      <c r="A10" s="7" t="s">
        <v>305</v>
      </c>
      <c r="B10" s="7" t="s">
        <v>304</v>
      </c>
      <c r="C10" s="7" t="s">
        <v>303</v>
      </c>
      <c r="D10" s="7" t="s">
        <v>302</v>
      </c>
      <c r="E10" s="18" t="s">
        <v>301</v>
      </c>
      <c r="F10" s="7" t="s">
        <v>300</v>
      </c>
      <c r="G10" s="7" t="s">
        <v>299</v>
      </c>
      <c r="H10" s="7" t="s">
        <v>298</v>
      </c>
      <c r="I10" s="7" t="s">
        <v>297</v>
      </c>
      <c r="J10" s="18" t="s">
        <v>296</v>
      </c>
      <c r="K10" s="18" t="s">
        <v>295</v>
      </c>
      <c r="L10" s="13"/>
      <c r="M10" s="13"/>
      <c r="N10" s="13"/>
      <c r="O10" s="13"/>
    </row>
    <row r="11" spans="1:15" x14ac:dyDescent="0.15">
      <c r="A11">
        <v>2013</v>
      </c>
      <c r="B11">
        <v>1417.4</v>
      </c>
      <c r="C11">
        <v>293.56</v>
      </c>
      <c r="D11">
        <v>2198.2399999999998</v>
      </c>
      <c r="E11" s="14">
        <v>21400</v>
      </c>
      <c r="F11">
        <v>165000</v>
      </c>
      <c r="G11">
        <v>41900</v>
      </c>
      <c r="H11">
        <v>41900</v>
      </c>
      <c r="I11">
        <v>41100</v>
      </c>
      <c r="J11" s="14"/>
      <c r="K11" s="14"/>
    </row>
    <row r="12" spans="1:15" x14ac:dyDescent="0.15">
      <c r="A12">
        <v>2014</v>
      </c>
      <c r="B12">
        <v>1573.07</v>
      </c>
      <c r="C12">
        <v>-1478.68</v>
      </c>
      <c r="D12">
        <v>2692.72</v>
      </c>
      <c r="E12" s="14">
        <v>24900</v>
      </c>
      <c r="F12">
        <v>124200</v>
      </c>
      <c r="G12">
        <v>9802.5400000000009</v>
      </c>
      <c r="H12">
        <v>11000</v>
      </c>
      <c r="I12">
        <v>10300</v>
      </c>
      <c r="J12" s="14"/>
      <c r="K12" s="14"/>
    </row>
    <row r="13" spans="1:15" x14ac:dyDescent="0.15">
      <c r="A13">
        <v>2015</v>
      </c>
      <c r="B13">
        <v>5762.74</v>
      </c>
      <c r="C13">
        <v>-4617.7700000000004</v>
      </c>
      <c r="D13">
        <v>2714.34</v>
      </c>
      <c r="E13" s="14">
        <v>29500</v>
      </c>
      <c r="F13">
        <v>120900</v>
      </c>
      <c r="G13">
        <v>10900</v>
      </c>
      <c r="H13">
        <v>12800</v>
      </c>
      <c r="I13">
        <v>11200</v>
      </c>
      <c r="J13" s="14">
        <v>533</v>
      </c>
      <c r="K13" s="14">
        <v>718</v>
      </c>
    </row>
    <row r="14" spans="1:15" x14ac:dyDescent="0.15">
      <c r="A14">
        <v>2016</v>
      </c>
      <c r="B14">
        <v>721.23</v>
      </c>
      <c r="C14">
        <v>-4943.92</v>
      </c>
      <c r="D14">
        <v>4378.62</v>
      </c>
      <c r="E14" s="14">
        <v>37400</v>
      </c>
      <c r="F14">
        <v>125200</v>
      </c>
      <c r="G14">
        <v>13200</v>
      </c>
      <c r="H14">
        <v>14400</v>
      </c>
      <c r="I14">
        <v>13700</v>
      </c>
      <c r="J14" s="14">
        <v>800</v>
      </c>
      <c r="K14" s="17">
        <v>1042</v>
      </c>
    </row>
    <row r="15" spans="1:15" x14ac:dyDescent="0.15">
      <c r="A15">
        <v>2017</v>
      </c>
      <c r="B15" s="15">
        <v>2549.16</v>
      </c>
      <c r="C15" s="15">
        <v>1993.38</v>
      </c>
      <c r="D15" s="15">
        <v>6087.37</v>
      </c>
      <c r="E15" s="16">
        <v>40800</v>
      </c>
      <c r="F15" s="15">
        <v>120100</v>
      </c>
      <c r="G15" s="15">
        <v>253</v>
      </c>
      <c r="H15" s="15">
        <v>-173.11</v>
      </c>
      <c r="I15" s="15">
        <v>-2928.45</v>
      </c>
      <c r="J15" s="14">
        <v>682</v>
      </c>
      <c r="K15" s="14">
        <v>901</v>
      </c>
    </row>
    <row r="16" spans="1:15" x14ac:dyDescent="0.15">
      <c r="A16" s="13"/>
      <c r="J16" s="14"/>
    </row>
    <row r="17" spans="1:3" x14ac:dyDescent="0.15">
      <c r="A17" s="13"/>
    </row>
    <row r="18" spans="1:3" x14ac:dyDescent="0.15">
      <c r="A18" s="1" t="s">
        <v>28</v>
      </c>
      <c r="B18" s="1" t="s">
        <v>294</v>
      </c>
      <c r="C18" s="1" t="s">
        <v>293</v>
      </c>
    </row>
    <row r="19" spans="1:3" x14ac:dyDescent="0.15">
      <c r="A19" t="s">
        <v>27</v>
      </c>
      <c r="B19">
        <v>13.13</v>
      </c>
      <c r="C19">
        <v>3.95</v>
      </c>
    </row>
    <row r="20" spans="1:3" x14ac:dyDescent="0.15">
      <c r="A20" t="s">
        <v>26</v>
      </c>
      <c r="B20">
        <v>0.59350000000000003</v>
      </c>
      <c r="C20">
        <v>1.0900000000000001</v>
      </c>
    </row>
    <row r="21" spans="1:3" x14ac:dyDescent="0.15">
      <c r="A21" t="s">
        <v>25</v>
      </c>
      <c r="B21">
        <v>2.4900000000000002</v>
      </c>
      <c r="C21">
        <v>1.18</v>
      </c>
    </row>
    <row r="22" spans="1:3" x14ac:dyDescent="0.15">
      <c r="A22" t="s">
        <v>99</v>
      </c>
      <c r="B22">
        <v>20.21</v>
      </c>
      <c r="C22">
        <v>9.92</v>
      </c>
    </row>
    <row r="23" spans="1:3" x14ac:dyDescent="0.15">
      <c r="A23" t="s">
        <v>98</v>
      </c>
      <c r="B23">
        <v>2.57</v>
      </c>
      <c r="C23">
        <v>1.84</v>
      </c>
    </row>
    <row r="24" spans="1:3" x14ac:dyDescent="0.15">
      <c r="A24" t="s">
        <v>203</v>
      </c>
      <c r="B24">
        <v>0</v>
      </c>
      <c r="C24">
        <v>0</v>
      </c>
    </row>
    <row r="25" spans="1:3" x14ac:dyDescent="0.15">
      <c r="A25" t="s">
        <v>96</v>
      </c>
      <c r="B25">
        <f>B22-B21</f>
        <v>17.72</v>
      </c>
      <c r="C25">
        <f>C22-C21</f>
        <v>8.74</v>
      </c>
    </row>
    <row r="26" spans="1:3" x14ac:dyDescent="0.15">
      <c r="A26" t="s">
        <v>95</v>
      </c>
      <c r="B26">
        <f>B22/B23</f>
        <v>7.8638132295719849</v>
      </c>
      <c r="C26">
        <f>C22/C23</f>
        <v>5.3913043478260869</v>
      </c>
    </row>
    <row r="27" spans="1:3" x14ac:dyDescent="0.15">
      <c r="A27" t="s">
        <v>199</v>
      </c>
      <c r="B27">
        <f>B21/2.95</f>
        <v>0.84406779661016951</v>
      </c>
      <c r="C27">
        <f>C21/1.95</f>
        <v>0.60512820512820509</v>
      </c>
    </row>
    <row r="28" spans="1:3" x14ac:dyDescent="0.15">
      <c r="A28" t="s">
        <v>18</v>
      </c>
      <c r="B28">
        <f>B20/2.95</f>
        <v>0.20118644067796609</v>
      </c>
      <c r="C28">
        <f>C20/1.95</f>
        <v>0.55897435897435899</v>
      </c>
    </row>
    <row r="29" spans="1:3" x14ac:dyDescent="0.15">
      <c r="A29" t="s">
        <v>292</v>
      </c>
      <c r="B29">
        <f>23.55-0.9-0.2416</f>
        <v>22.408400000000004</v>
      </c>
      <c r="C29">
        <f>9.86-0.2158-0.2744</f>
        <v>9.3697999999999997</v>
      </c>
    </row>
    <row r="30" spans="1:3" x14ac:dyDescent="0.15">
      <c r="A30" t="s">
        <v>91</v>
      </c>
      <c r="B30">
        <f>(B19-2.8)/3.31</f>
        <v>3.1208459214501514</v>
      </c>
      <c r="C30">
        <f>(C19-1.58)/2.1</f>
        <v>1.1285714285714286</v>
      </c>
    </row>
    <row r="31" spans="1:3" x14ac:dyDescent="0.15">
      <c r="A31" t="s">
        <v>90</v>
      </c>
      <c r="B31">
        <f>(B25-2.8)/3.31</f>
        <v>4.5075528700906338</v>
      </c>
      <c r="C31">
        <f>(C25-1.58)/2.1</f>
        <v>3.4095238095238094</v>
      </c>
    </row>
    <row r="32" spans="1:3" x14ac:dyDescent="0.15">
      <c r="A32" t="s">
        <v>89</v>
      </c>
      <c r="B32">
        <f>(B29-2.8)/3.31</f>
        <v>5.9239879154078556</v>
      </c>
      <c r="C32">
        <f>(C29-1.58)/2.1</f>
        <v>3.7094285714285711</v>
      </c>
    </row>
    <row r="33" spans="1:5" x14ac:dyDescent="0.15">
      <c r="A33" s="1" t="s">
        <v>57</v>
      </c>
      <c r="B33" s="1">
        <v>2017</v>
      </c>
      <c r="D33" s="1">
        <v>2018.3</v>
      </c>
    </row>
    <row r="34" spans="1:5" x14ac:dyDescent="0.15">
      <c r="A34" t="s">
        <v>56</v>
      </c>
      <c r="B34">
        <v>12.01</v>
      </c>
      <c r="C34">
        <v>6.86</v>
      </c>
      <c r="D34">
        <v>2.95</v>
      </c>
      <c r="E34">
        <v>1.95</v>
      </c>
    </row>
    <row r="35" spans="1:5" x14ac:dyDescent="0.15">
      <c r="A35" t="s">
        <v>55</v>
      </c>
      <c r="B35">
        <v>0.2266</v>
      </c>
      <c r="C35">
        <v>3.9210000000000002E-2</v>
      </c>
    </row>
    <row r="36" spans="1:5" x14ac:dyDescent="0.15">
      <c r="A36" t="s">
        <v>54</v>
      </c>
      <c r="B36">
        <v>3.1899999999999998E-2</v>
      </c>
      <c r="C36">
        <v>1.41</v>
      </c>
      <c r="D36">
        <v>-0.1027</v>
      </c>
      <c r="E36">
        <v>0.36959999999999998</v>
      </c>
    </row>
    <row r="37" spans="1:5" x14ac:dyDescent="0.15">
      <c r="A37" t="s">
        <v>53</v>
      </c>
    </row>
    <row r="38" spans="1:5" x14ac:dyDescent="0.15">
      <c r="A38" t="s">
        <v>52</v>
      </c>
    </row>
    <row r="39" spans="1:5" x14ac:dyDescent="0.15">
      <c r="A39" t="s">
        <v>291</v>
      </c>
      <c r="B39">
        <v>-1.7399999999999999E-2</v>
      </c>
      <c r="C39">
        <v>1.29</v>
      </c>
      <c r="D39">
        <v>-0.1192</v>
      </c>
      <c r="E39">
        <v>0.33689999999999998</v>
      </c>
    </row>
    <row r="40" spans="1:5" x14ac:dyDescent="0.15">
      <c r="A40" t="s">
        <v>50</v>
      </c>
      <c r="B40" s="2">
        <f>B36/B34</f>
        <v>2.6561199000832638E-3</v>
      </c>
      <c r="C40" s="2">
        <f>C36/C34</f>
        <v>0.20553935860058306</v>
      </c>
      <c r="D40" s="2">
        <f>D36/D34</f>
        <v>-3.4813559322033893E-2</v>
      </c>
      <c r="E40" s="2">
        <f>E36/E34</f>
        <v>0.18953846153846154</v>
      </c>
    </row>
    <row r="41" spans="1:5" x14ac:dyDescent="0.15">
      <c r="A41" s="5" t="s">
        <v>49</v>
      </c>
      <c r="B41" s="2">
        <f>B36/B46</f>
        <v>1.5455426356589146E-3</v>
      </c>
      <c r="C41" s="2">
        <f>C36/C46</f>
        <v>0.17028985507246377</v>
      </c>
      <c r="D41" s="2">
        <f>D36/D46</f>
        <v>-4.522236900044033E-3</v>
      </c>
      <c r="E41" s="2">
        <f>E36/E46</f>
        <v>3.7484787018255576E-2</v>
      </c>
    </row>
    <row r="42" spans="1:5" x14ac:dyDescent="0.15">
      <c r="A42" s="1" t="s">
        <v>65</v>
      </c>
    </row>
    <row r="43" spans="1:5" x14ac:dyDescent="0.15">
      <c r="A43" t="s">
        <v>248</v>
      </c>
    </row>
    <row r="44" spans="1:5" x14ac:dyDescent="0.15">
      <c r="A44" t="s">
        <v>63</v>
      </c>
    </row>
    <row r="45" spans="1:5" x14ac:dyDescent="0.15">
      <c r="A45" t="s">
        <v>290</v>
      </c>
    </row>
    <row r="46" spans="1:5" x14ac:dyDescent="0.15">
      <c r="A46" t="s">
        <v>289</v>
      </c>
      <c r="B46">
        <v>20.64</v>
      </c>
      <c r="C46">
        <v>8.2799999999999994</v>
      </c>
      <c r="D46">
        <v>22.71</v>
      </c>
      <c r="E46">
        <v>9.86</v>
      </c>
    </row>
    <row r="47" spans="1:5" x14ac:dyDescent="0.15">
      <c r="A47" t="s">
        <v>288</v>
      </c>
    </row>
    <row r="48" spans="1:5" x14ac:dyDescent="0.15">
      <c r="A48" t="s">
        <v>59</v>
      </c>
    </row>
    <row r="49" spans="1:5" x14ac:dyDescent="0.15">
      <c r="A49" t="s">
        <v>58</v>
      </c>
    </row>
    <row r="50" spans="1:5" x14ac:dyDescent="0.15">
      <c r="A50" s="1" t="s">
        <v>48</v>
      </c>
    </row>
    <row r="51" spans="1:5" x14ac:dyDescent="0.15">
      <c r="A51" t="s">
        <v>47</v>
      </c>
    </row>
    <row r="52" spans="1:5" x14ac:dyDescent="0.15">
      <c r="A52" t="s">
        <v>46</v>
      </c>
    </row>
    <row r="53" spans="1:5" x14ac:dyDescent="0.15">
      <c r="A53" t="s">
        <v>45</v>
      </c>
    </row>
    <row r="54" spans="1:5" x14ac:dyDescent="0.15">
      <c r="A54" s="4" t="s">
        <v>44</v>
      </c>
      <c r="B54" s="2">
        <f>0.05/19.53</f>
        <v>2.5601638504864311E-3</v>
      </c>
      <c r="C54" s="2">
        <f>0.64/25.7</f>
        <v>2.4902723735408562E-2</v>
      </c>
      <c r="D54" s="2">
        <f>-0.04*4/19.51</f>
        <v>-8.2009226037929265E-3</v>
      </c>
      <c r="E54" s="2">
        <f>0.17*4/25.7</f>
        <v>2.6459143968871598E-2</v>
      </c>
    </row>
    <row r="55" spans="1:5" x14ac:dyDescent="0.15">
      <c r="A55" t="s">
        <v>43</v>
      </c>
    </row>
    <row r="56" spans="1:5" x14ac:dyDescent="0.15">
      <c r="A56" t="s">
        <v>42</v>
      </c>
    </row>
    <row r="57" spans="1:5" x14ac:dyDescent="0.15">
      <c r="A57" s="3" t="s">
        <v>41</v>
      </c>
    </row>
    <row r="58" spans="1:5" x14ac:dyDescent="0.15">
      <c r="A58" t="s">
        <v>40</v>
      </c>
    </row>
    <row r="59" spans="1:5" x14ac:dyDescent="0.15">
      <c r="A59" s="1" t="s">
        <v>39</v>
      </c>
    </row>
    <row r="60" spans="1:5" x14ac:dyDescent="0.15">
      <c r="A60" t="s">
        <v>38</v>
      </c>
    </row>
    <row r="61" spans="1:5" x14ac:dyDescent="0.15">
      <c r="A61" t="s">
        <v>37</v>
      </c>
      <c r="B61">
        <f>SUM(B65:B71)/7</f>
        <v>1.6514285714285717</v>
      </c>
    </row>
    <row r="62" spans="1:5" x14ac:dyDescent="0.15">
      <c r="A62" t="s">
        <v>36</v>
      </c>
    </row>
    <row r="63" spans="1:5" x14ac:dyDescent="0.15">
      <c r="A63" s="1" t="s">
        <v>287</v>
      </c>
    </row>
    <row r="64" spans="1:5" x14ac:dyDescent="0.15">
      <c r="A64" t="s">
        <v>34</v>
      </c>
    </row>
    <row r="65" spans="1:2" x14ac:dyDescent="0.15">
      <c r="A65" s="1">
        <v>2011</v>
      </c>
      <c r="B65">
        <v>0.53</v>
      </c>
    </row>
    <row r="66" spans="1:2" x14ac:dyDescent="0.15">
      <c r="A66" s="1">
        <v>2012</v>
      </c>
      <c r="B66">
        <v>4.76</v>
      </c>
    </row>
    <row r="67" spans="1:2" x14ac:dyDescent="0.15">
      <c r="A67" s="1">
        <v>2013</v>
      </c>
      <c r="B67">
        <v>3.49</v>
      </c>
    </row>
    <row r="68" spans="1:2" x14ac:dyDescent="0.15">
      <c r="A68" s="1">
        <v>2014</v>
      </c>
      <c r="B68">
        <v>0.92</v>
      </c>
    </row>
    <row r="69" spans="1:2" x14ac:dyDescent="0.15">
      <c r="A69" s="1">
        <v>2015</v>
      </c>
      <c r="B69">
        <v>0.89</v>
      </c>
    </row>
    <row r="70" spans="1:2" x14ac:dyDescent="0.15">
      <c r="A70" s="1">
        <v>2016</v>
      </c>
      <c r="B70">
        <v>0.92</v>
      </c>
    </row>
    <row r="71" spans="1:2" x14ac:dyDescent="0.15">
      <c r="A71" s="1">
        <v>2017</v>
      </c>
      <c r="B71">
        <v>0.05</v>
      </c>
    </row>
    <row r="72" spans="1:2" x14ac:dyDescent="0.15">
      <c r="A72" s="1" t="s">
        <v>33</v>
      </c>
    </row>
    <row r="73" spans="1:2" x14ac:dyDescent="0.15">
      <c r="A73" t="s">
        <v>32</v>
      </c>
      <c r="B73">
        <v>2.5000000000000001E-2</v>
      </c>
    </row>
    <row r="74" spans="1:2" x14ac:dyDescent="0.15">
      <c r="A74" t="s">
        <v>31</v>
      </c>
      <c r="B74">
        <f>B73/20</f>
        <v>1.25E-3</v>
      </c>
    </row>
    <row r="75" spans="1:2" x14ac:dyDescent="0.15">
      <c r="A75" t="s">
        <v>212</v>
      </c>
    </row>
    <row r="76" spans="1:2" x14ac:dyDescent="0.15">
      <c r="A76" t="s">
        <v>286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"/>
  <sheetViews>
    <sheetView topLeftCell="A64" zoomScaleNormal="100" workbookViewId="0">
      <selection activeCell="G79" sqref="G79"/>
    </sheetView>
  </sheetViews>
  <sheetFormatPr defaultRowHeight="13.5" x14ac:dyDescent="0.15"/>
  <cols>
    <col min="1" max="1" width="36.125" customWidth="1"/>
    <col min="2" max="2" width="8.375" customWidth="1"/>
    <col min="3" max="3" width="5.125" customWidth="1"/>
    <col min="4" max="4" width="13.25" customWidth="1"/>
    <col min="5" max="5" width="7.125" customWidth="1"/>
    <col min="6" max="6" width="7" customWidth="1"/>
    <col min="7" max="7" width="7.25" customWidth="1"/>
    <col min="8" max="8" width="7.875" customWidth="1"/>
    <col min="9" max="9" width="6.625" customWidth="1"/>
    <col min="10" max="10" width="12.875" customWidth="1"/>
    <col min="11" max="11" width="13" customWidth="1"/>
    <col min="12" max="12" width="11.375" customWidth="1"/>
    <col min="13" max="13" width="11" customWidth="1"/>
    <col min="14" max="14" width="10.75" customWidth="1"/>
    <col min="15" max="15" width="12" customWidth="1"/>
    <col min="16" max="16" width="11.5" customWidth="1"/>
    <col min="17" max="17" width="10.75" customWidth="1"/>
    <col min="18" max="18" width="9.875" customWidth="1"/>
  </cols>
  <sheetData>
    <row r="1" spans="1:12" ht="13.5" customHeight="1" x14ac:dyDescent="0.15">
      <c r="A1" s="36" t="s">
        <v>285</v>
      </c>
      <c r="B1" s="36"/>
      <c r="C1" s="36"/>
      <c r="D1" s="36"/>
      <c r="E1" s="36"/>
      <c r="F1" s="36"/>
    </row>
    <row r="2" spans="1:12" x14ac:dyDescent="0.15">
      <c r="A2" s="7" t="s">
        <v>261</v>
      </c>
      <c r="B2" s="7" t="s">
        <v>260</v>
      </c>
      <c r="C2" s="7" t="s">
        <v>259</v>
      </c>
      <c r="D2" s="7" t="s">
        <v>258</v>
      </c>
      <c r="E2" s="7" t="s">
        <v>284</v>
      </c>
      <c r="F2" s="7" t="s">
        <v>283</v>
      </c>
      <c r="G2" s="7" t="s">
        <v>282</v>
      </c>
      <c r="H2" s="7" t="s">
        <v>281</v>
      </c>
      <c r="I2" s="7" t="s">
        <v>280</v>
      </c>
      <c r="J2" s="25" t="s">
        <v>347</v>
      </c>
      <c r="K2" s="7" t="s">
        <v>346</v>
      </c>
      <c r="L2" s="7" t="s">
        <v>345</v>
      </c>
    </row>
    <row r="3" spans="1:12" x14ac:dyDescent="0.15">
      <c r="A3">
        <v>2011</v>
      </c>
      <c r="B3">
        <v>1.01</v>
      </c>
      <c r="J3" s="26">
        <f>L3/K3</f>
        <v>0.5424107142857143</v>
      </c>
      <c r="K3">
        <v>1.1200000000000001</v>
      </c>
      <c r="L3">
        <v>0.60750000000000004</v>
      </c>
    </row>
    <row r="4" spans="1:12" x14ac:dyDescent="0.15">
      <c r="A4">
        <v>2012</v>
      </c>
      <c r="B4">
        <v>1.07</v>
      </c>
      <c r="J4" s="26">
        <f t="shared" ref="J4:J9" si="0">L4/K4</f>
        <v>0.57446428571428565</v>
      </c>
      <c r="K4">
        <v>1.1200000000000001</v>
      </c>
      <c r="L4">
        <v>0.64339999999999997</v>
      </c>
    </row>
    <row r="5" spans="1:12" x14ac:dyDescent="0.15">
      <c r="A5">
        <v>2013</v>
      </c>
      <c r="B5">
        <v>0.57999999999999996</v>
      </c>
      <c r="J5" s="26">
        <f t="shared" si="0"/>
        <v>0.31205357142857137</v>
      </c>
      <c r="K5">
        <v>1.1200000000000001</v>
      </c>
      <c r="L5">
        <v>0.34949999999999998</v>
      </c>
    </row>
    <row r="6" spans="1:12" x14ac:dyDescent="0.15">
      <c r="A6">
        <v>2014</v>
      </c>
      <c r="B6">
        <v>0.59</v>
      </c>
      <c r="C6">
        <v>0.2</v>
      </c>
      <c r="D6" t="s">
        <v>279</v>
      </c>
      <c r="E6">
        <v>21.6</v>
      </c>
      <c r="F6" s="2">
        <f>B6/E6</f>
        <v>2.7314814814814813E-2</v>
      </c>
      <c r="G6" s="2">
        <f>C6/E6</f>
        <v>9.2592592592592587E-3</v>
      </c>
      <c r="H6">
        <v>40.11</v>
      </c>
      <c r="I6">
        <v>6.94</v>
      </c>
      <c r="J6" s="26">
        <f t="shared" si="0"/>
        <v>0.33410714285714282</v>
      </c>
      <c r="K6">
        <v>1.1200000000000001</v>
      </c>
      <c r="L6">
        <v>0.37419999999999998</v>
      </c>
    </row>
    <row r="7" spans="1:12" x14ac:dyDescent="0.15">
      <c r="A7">
        <v>2015</v>
      </c>
      <c r="B7">
        <v>0.27</v>
      </c>
      <c r="C7">
        <v>0.11</v>
      </c>
      <c r="D7" t="s">
        <v>278</v>
      </c>
      <c r="E7">
        <v>35.090000000000003</v>
      </c>
      <c r="F7" s="2">
        <f>B7/E7</f>
        <v>7.694499857509262E-3</v>
      </c>
      <c r="G7" s="2">
        <f>C7/E7</f>
        <v>3.134796238244514E-3</v>
      </c>
      <c r="H7">
        <v>54.65</v>
      </c>
      <c r="I7">
        <v>17.809999999999999</v>
      </c>
      <c r="J7" s="26">
        <f t="shared" si="0"/>
        <v>0.18642857142857142</v>
      </c>
      <c r="K7">
        <v>1.1200000000000001</v>
      </c>
      <c r="L7">
        <v>0.20880000000000001</v>
      </c>
    </row>
    <row r="8" spans="1:12" x14ac:dyDescent="0.15">
      <c r="A8">
        <v>2016</v>
      </c>
      <c r="B8">
        <v>0.27</v>
      </c>
      <c r="C8">
        <v>0.11</v>
      </c>
      <c r="D8" t="s">
        <v>277</v>
      </c>
      <c r="E8">
        <v>36.75</v>
      </c>
      <c r="F8" s="2">
        <f>B8/E8</f>
        <v>7.3469387755102046E-3</v>
      </c>
      <c r="G8" s="2">
        <f>C8/E8</f>
        <v>2.9931972789115648E-3</v>
      </c>
      <c r="H8">
        <v>44.81</v>
      </c>
      <c r="I8">
        <v>20.56</v>
      </c>
      <c r="J8" s="26">
        <f t="shared" si="0"/>
        <v>0.169375</v>
      </c>
      <c r="K8">
        <v>1.1200000000000001</v>
      </c>
      <c r="L8">
        <v>0.18970000000000001</v>
      </c>
    </row>
    <row r="9" spans="1:12" x14ac:dyDescent="0.15">
      <c r="A9">
        <v>2017</v>
      </c>
      <c r="B9">
        <v>0.39</v>
      </c>
      <c r="C9">
        <v>0.15</v>
      </c>
      <c r="D9" t="s">
        <v>276</v>
      </c>
      <c r="E9">
        <v>29.63</v>
      </c>
      <c r="F9" s="2">
        <f>B9/E9</f>
        <v>1.3162335470806617E-2</v>
      </c>
      <c r="G9" s="2">
        <f>C9/E9</f>
        <v>5.0624367195410058E-3</v>
      </c>
      <c r="H9">
        <v>39.909999999999997</v>
      </c>
      <c r="I9">
        <v>22.19</v>
      </c>
      <c r="J9" s="26">
        <f t="shared" si="0"/>
        <v>0.27723214285714282</v>
      </c>
      <c r="K9">
        <v>1.1200000000000001</v>
      </c>
      <c r="L9">
        <v>0.3105</v>
      </c>
    </row>
    <row r="10" spans="1:12" x14ac:dyDescent="0.15">
      <c r="B10">
        <f>0.1017*4</f>
        <v>0.40679999999999999</v>
      </c>
      <c r="E10">
        <v>12.47</v>
      </c>
      <c r="F10" s="2">
        <f>B10/E10</f>
        <v>3.2622293504410586E-2</v>
      </c>
      <c r="J10" s="26">
        <f>SUM(J3:J9)/7</f>
        <v>0.34229591836734691</v>
      </c>
    </row>
    <row r="11" spans="1:12" x14ac:dyDescent="0.15">
      <c r="A11" s="1" t="s">
        <v>250</v>
      </c>
      <c r="J11" s="26"/>
    </row>
    <row r="12" spans="1:12" x14ac:dyDescent="0.15">
      <c r="A12" t="s">
        <v>249</v>
      </c>
    </row>
    <row r="13" spans="1:12" x14ac:dyDescent="0.15">
      <c r="A13" t="s">
        <v>247</v>
      </c>
      <c r="J13">
        <f>2.34/1.89</f>
        <v>1.2380952380952381</v>
      </c>
    </row>
    <row r="14" spans="1:12" x14ac:dyDescent="0.15">
      <c r="A14" t="s">
        <v>246</v>
      </c>
      <c r="J14">
        <f>1.48/1.18</f>
        <v>1.2542372881355932</v>
      </c>
    </row>
    <row r="15" spans="1:12" x14ac:dyDescent="0.15">
      <c r="A15" t="s">
        <v>244</v>
      </c>
      <c r="B15">
        <v>5.0199999999999996</v>
      </c>
      <c r="J15">
        <f>2.17/1.74</f>
        <v>1.2471264367816091</v>
      </c>
    </row>
    <row r="16" spans="1:12" x14ac:dyDescent="0.15">
      <c r="A16" t="s">
        <v>243</v>
      </c>
    </row>
    <row r="17" spans="1:4" x14ac:dyDescent="0.15">
      <c r="A17" t="s">
        <v>242</v>
      </c>
    </row>
    <row r="18" spans="1:4" x14ac:dyDescent="0.15">
      <c r="A18" t="s">
        <v>241</v>
      </c>
    </row>
    <row r="19" spans="1:4" x14ac:dyDescent="0.15">
      <c r="A19" s="1" t="s">
        <v>240</v>
      </c>
    </row>
    <row r="20" spans="1:4" x14ac:dyDescent="0.15">
      <c r="A20" t="s">
        <v>239</v>
      </c>
      <c r="B20">
        <v>0.74299999999999999</v>
      </c>
    </row>
    <row r="21" spans="1:4" x14ac:dyDescent="0.15">
      <c r="A21" t="s">
        <v>238</v>
      </c>
      <c r="B21">
        <f>0.1673+0.1925-0.1462</f>
        <v>0.21360000000000001</v>
      </c>
      <c r="C21">
        <f>0.001743+0.16</f>
        <v>0.161743</v>
      </c>
      <c r="D21">
        <f>0.00174+0.171</f>
        <v>0.17274</v>
      </c>
    </row>
    <row r="22" spans="1:4" x14ac:dyDescent="0.15">
      <c r="A22" t="s">
        <v>237</v>
      </c>
      <c r="B22">
        <v>0.107</v>
      </c>
    </row>
    <row r="23" spans="1:4" x14ac:dyDescent="0.15">
      <c r="A23" t="s">
        <v>236</v>
      </c>
    </row>
    <row r="24" spans="1:4" x14ac:dyDescent="0.15">
      <c r="A24" t="s">
        <v>235</v>
      </c>
    </row>
    <row r="25" spans="1:4" x14ac:dyDescent="0.15">
      <c r="A25" t="s">
        <v>234</v>
      </c>
      <c r="B25">
        <v>0.09</v>
      </c>
    </row>
    <row r="26" spans="1:4" x14ac:dyDescent="0.15">
      <c r="A26" t="s">
        <v>233</v>
      </c>
      <c r="B26" s="2">
        <f>B22/B20</f>
        <v>0.14401076716016151</v>
      </c>
    </row>
    <row r="27" spans="1:4" x14ac:dyDescent="0.15">
      <c r="A27" s="5" t="s">
        <v>232</v>
      </c>
      <c r="B27" s="2">
        <f>B22/B15</f>
        <v>2.1314741035856576E-2</v>
      </c>
    </row>
    <row r="28" spans="1:4" x14ac:dyDescent="0.15">
      <c r="A28" s="1" t="s">
        <v>231</v>
      </c>
    </row>
    <row r="29" spans="1:4" x14ac:dyDescent="0.15">
      <c r="A29" t="s">
        <v>230</v>
      </c>
    </row>
    <row r="30" spans="1:4" x14ac:dyDescent="0.15">
      <c r="A30" t="s">
        <v>229</v>
      </c>
    </row>
    <row r="31" spans="1:4" x14ac:dyDescent="0.15">
      <c r="A31" t="s">
        <v>228</v>
      </c>
      <c r="B31">
        <f>0.11*4</f>
        <v>0.44</v>
      </c>
    </row>
    <row r="32" spans="1:4" x14ac:dyDescent="0.15">
      <c r="A32" s="4" t="s">
        <v>227</v>
      </c>
      <c r="B32" s="2">
        <f>B31/22.5</f>
        <v>1.9555555555555555E-2</v>
      </c>
    </row>
    <row r="33" spans="1:2" x14ac:dyDescent="0.15">
      <c r="A33" t="s">
        <v>226</v>
      </c>
    </row>
    <row r="34" spans="1:2" x14ac:dyDescent="0.15">
      <c r="A34" t="s">
        <v>225</v>
      </c>
    </row>
    <row r="35" spans="1:2" x14ac:dyDescent="0.15">
      <c r="A35" s="3" t="s">
        <v>224</v>
      </c>
    </row>
    <row r="36" spans="1:2" x14ac:dyDescent="0.15">
      <c r="A36" t="s">
        <v>223</v>
      </c>
    </row>
    <row r="37" spans="1:2" x14ac:dyDescent="0.15">
      <c r="A37" s="1" t="s">
        <v>222</v>
      </c>
    </row>
    <row r="38" spans="1:2" x14ac:dyDescent="0.15">
      <c r="A38" t="s">
        <v>221</v>
      </c>
    </row>
    <row r="39" spans="1:2" x14ac:dyDescent="0.15">
      <c r="A39" t="s">
        <v>220</v>
      </c>
      <c r="B39">
        <f>SUM(B43:B49)/7</f>
        <v>0.54142857142857148</v>
      </c>
    </row>
    <row r="40" spans="1:2" x14ac:dyDescent="0.15">
      <c r="A40" t="s">
        <v>219</v>
      </c>
    </row>
    <row r="41" spans="1:2" x14ac:dyDescent="0.15">
      <c r="A41" s="1" t="s">
        <v>218</v>
      </c>
    </row>
    <row r="42" spans="1:2" x14ac:dyDescent="0.15">
      <c r="A42" t="s">
        <v>217</v>
      </c>
    </row>
    <row r="43" spans="1:2" x14ac:dyDescent="0.15">
      <c r="A43" s="1">
        <v>2011</v>
      </c>
      <c r="B43">
        <v>1.01</v>
      </c>
    </row>
    <row r="44" spans="1:2" x14ac:dyDescent="0.15">
      <c r="A44" s="1">
        <v>2012</v>
      </c>
      <c r="B44">
        <v>1.07</v>
      </c>
    </row>
    <row r="45" spans="1:2" x14ac:dyDescent="0.15">
      <c r="A45" s="1">
        <v>2013</v>
      </c>
      <c r="B45">
        <v>0.57999999999999996</v>
      </c>
    </row>
    <row r="46" spans="1:2" x14ac:dyDescent="0.15">
      <c r="A46" s="1">
        <v>2014</v>
      </c>
      <c r="B46">
        <v>0.59</v>
      </c>
    </row>
    <row r="47" spans="1:2" x14ac:dyDescent="0.15">
      <c r="A47" s="1">
        <v>2015</v>
      </c>
      <c r="B47">
        <v>0.27</v>
      </c>
    </row>
    <row r="48" spans="1:2" x14ac:dyDescent="0.15">
      <c r="A48" s="1">
        <v>2016</v>
      </c>
      <c r="B48">
        <v>0.27</v>
      </c>
    </row>
    <row r="49" spans="1:2" x14ac:dyDescent="0.15">
      <c r="A49" s="1">
        <v>2017</v>
      </c>
      <c r="B49" t="s">
        <v>275</v>
      </c>
    </row>
    <row r="50" spans="1:2" x14ac:dyDescent="0.15">
      <c r="A50" s="1" t="s">
        <v>216</v>
      </c>
    </row>
    <row r="51" spans="1:2" x14ac:dyDescent="0.15">
      <c r="A51" t="s">
        <v>215</v>
      </c>
    </row>
    <row r="52" spans="1:2" x14ac:dyDescent="0.15">
      <c r="A52" t="s">
        <v>214</v>
      </c>
      <c r="B52">
        <f>0.14/23.5</f>
        <v>5.9574468085106386E-3</v>
      </c>
    </row>
    <row r="53" spans="1:2" x14ac:dyDescent="0.15">
      <c r="A53" t="s">
        <v>213</v>
      </c>
    </row>
    <row r="54" spans="1:2" x14ac:dyDescent="0.15">
      <c r="A54" t="s">
        <v>211</v>
      </c>
    </row>
    <row r="55" spans="1:2" x14ac:dyDescent="0.15">
      <c r="A55" s="1" t="s">
        <v>210</v>
      </c>
    </row>
    <row r="56" spans="1:2" x14ac:dyDescent="0.15">
      <c r="A56" t="s">
        <v>209</v>
      </c>
      <c r="B56">
        <v>1.01</v>
      </c>
    </row>
    <row r="57" spans="1:2" x14ac:dyDescent="0.15">
      <c r="A57" t="s">
        <v>208</v>
      </c>
      <c r="B57">
        <v>0.89</v>
      </c>
    </row>
    <row r="58" spans="1:2" x14ac:dyDescent="0.15">
      <c r="A58" t="s">
        <v>207</v>
      </c>
      <c r="B58">
        <v>2.3887</v>
      </c>
    </row>
    <row r="59" spans="1:2" x14ac:dyDescent="0.15">
      <c r="A59" t="s">
        <v>206</v>
      </c>
      <c r="B59">
        <v>4.7511000000000001</v>
      </c>
    </row>
    <row r="60" spans="1:2" x14ac:dyDescent="0.15">
      <c r="A60" t="s">
        <v>205</v>
      </c>
      <c r="B60">
        <v>2.5598999999999998</v>
      </c>
    </row>
    <row r="61" spans="1:2" x14ac:dyDescent="0.15">
      <c r="A61" t="s">
        <v>204</v>
      </c>
      <c r="B61">
        <v>0.31440000000000001</v>
      </c>
    </row>
    <row r="62" spans="1:2" x14ac:dyDescent="0.15">
      <c r="A62" t="s">
        <v>202</v>
      </c>
      <c r="B62">
        <f>B59-B58</f>
        <v>2.3624000000000001</v>
      </c>
    </row>
    <row r="63" spans="1:2" x14ac:dyDescent="0.15">
      <c r="A63" t="s">
        <v>201</v>
      </c>
      <c r="B63">
        <f>B59/B60</f>
        <v>1.8559709363647019</v>
      </c>
    </row>
    <row r="64" spans="1:2" x14ac:dyDescent="0.15">
      <c r="A64" t="s">
        <v>200</v>
      </c>
      <c r="B64">
        <f>B58/B20</f>
        <v>3.2149394347240916</v>
      </c>
    </row>
    <row r="65" spans="1:7" x14ac:dyDescent="0.15">
      <c r="A65" t="s">
        <v>198</v>
      </c>
      <c r="B65">
        <f>B57/B20</f>
        <v>1.1978465679676986</v>
      </c>
    </row>
    <row r="66" spans="1:7" x14ac:dyDescent="0.15">
      <c r="A66" t="s">
        <v>197</v>
      </c>
      <c r="B66">
        <f>(B15-0.74)</f>
        <v>4.2799999999999994</v>
      </c>
    </row>
    <row r="67" spans="1:7" x14ac:dyDescent="0.15">
      <c r="A67" t="s">
        <v>196</v>
      </c>
      <c r="B67">
        <f>(B56-B60)/0.8</f>
        <v>-1.9373749999999996</v>
      </c>
    </row>
    <row r="68" spans="1:7" x14ac:dyDescent="0.15">
      <c r="A68" t="s">
        <v>274</v>
      </c>
      <c r="B68">
        <f>(B62-B60)/0.8</f>
        <v>-0.24687499999999973</v>
      </c>
    </row>
    <row r="69" spans="1:7" x14ac:dyDescent="0.15">
      <c r="A69" t="s">
        <v>273</v>
      </c>
      <c r="B69">
        <f>(B66-B60)/0.8</f>
        <v>2.1501249999999992</v>
      </c>
    </row>
    <row r="71" spans="1:7" x14ac:dyDescent="0.15">
      <c r="A71" s="1" t="s">
        <v>272</v>
      </c>
      <c r="B71" s="37">
        <v>2017</v>
      </c>
      <c r="C71" s="37"/>
      <c r="D71" s="37">
        <v>2016</v>
      </c>
      <c r="E71" s="37"/>
      <c r="F71" s="37">
        <v>2015</v>
      </c>
      <c r="G71" s="37"/>
    </row>
    <row r="72" spans="1:7" x14ac:dyDescent="0.15">
      <c r="A72" t="s">
        <v>271</v>
      </c>
      <c r="B72" t="s">
        <v>348</v>
      </c>
      <c r="C72" s="10" t="s">
        <v>349</v>
      </c>
      <c r="D72" t="s">
        <v>348</v>
      </c>
      <c r="E72" s="10" t="s">
        <v>349</v>
      </c>
      <c r="F72" t="s">
        <v>348</v>
      </c>
      <c r="G72" s="10" t="s">
        <v>349</v>
      </c>
    </row>
    <row r="73" spans="1:7" x14ac:dyDescent="0.15">
      <c r="A73" t="s">
        <v>270</v>
      </c>
      <c r="B73">
        <v>88</v>
      </c>
      <c r="C73" s="10">
        <v>33</v>
      </c>
      <c r="D73">
        <v>49</v>
      </c>
      <c r="E73" s="10">
        <v>28</v>
      </c>
      <c r="F73">
        <v>65</v>
      </c>
      <c r="G73" s="10">
        <v>17</v>
      </c>
    </row>
    <row r="74" spans="1:7" x14ac:dyDescent="0.15">
      <c r="A74" t="s">
        <v>269</v>
      </c>
      <c r="B74">
        <f>8574/B73</f>
        <v>97.431818181818187</v>
      </c>
      <c r="C74" s="10">
        <f>6148/C73</f>
        <v>186.30303030303031</v>
      </c>
      <c r="D74">
        <f>5610/D73</f>
        <v>114.48979591836735</v>
      </c>
      <c r="E74" s="10">
        <f>4860/E73</f>
        <v>173.57142857142858</v>
      </c>
      <c r="F74">
        <f>5909/F73</f>
        <v>90.907692307692301</v>
      </c>
      <c r="G74" s="10">
        <f>2712/G73</f>
        <v>159.52941176470588</v>
      </c>
    </row>
    <row r="75" spans="1:7" x14ac:dyDescent="0.15">
      <c r="A75" t="s">
        <v>268</v>
      </c>
      <c r="B75">
        <f>4679/B73</f>
        <v>53.170454545454547</v>
      </c>
      <c r="C75" s="10">
        <f>2685/C73</f>
        <v>81.36363636363636</v>
      </c>
      <c r="D75">
        <f>3059/D73</f>
        <v>62.428571428571431</v>
      </c>
      <c r="E75" s="10">
        <f>2559/E73</f>
        <v>91.392857142857139</v>
      </c>
      <c r="F75">
        <f>3240/F73</f>
        <v>49.846153846153847</v>
      </c>
      <c r="G75" s="10">
        <f>1512/G73</f>
        <v>88.941176470588232</v>
      </c>
    </row>
    <row r="76" spans="1:7" x14ac:dyDescent="0.15">
      <c r="A76" t="s">
        <v>267</v>
      </c>
      <c r="B76">
        <f t="shared" ref="B76:G76" si="1">B74-B75</f>
        <v>44.26136363636364</v>
      </c>
      <c r="C76" s="10">
        <f t="shared" si="1"/>
        <v>104.93939393939395</v>
      </c>
      <c r="D76">
        <f t="shared" si="1"/>
        <v>52.061224489795919</v>
      </c>
      <c r="E76" s="10">
        <f t="shared" si="1"/>
        <v>82.178571428571445</v>
      </c>
      <c r="F76">
        <f t="shared" si="1"/>
        <v>41.061538461538454</v>
      </c>
      <c r="G76" s="10">
        <f t="shared" si="1"/>
        <v>70.588235294117652</v>
      </c>
    </row>
    <row r="77" spans="1:7" x14ac:dyDescent="0.15">
      <c r="A77" t="s">
        <v>266</v>
      </c>
    </row>
    <row r="78" spans="1:7" x14ac:dyDescent="0.15">
      <c r="A78" t="s">
        <v>265</v>
      </c>
    </row>
    <row r="79" spans="1:7" x14ac:dyDescent="0.15">
      <c r="A79" t="s">
        <v>264</v>
      </c>
    </row>
    <row r="80" spans="1:7" x14ac:dyDescent="0.15">
      <c r="A80" t="s">
        <v>263</v>
      </c>
    </row>
    <row r="81" spans="1:1" x14ac:dyDescent="0.15">
      <c r="A81" t="s">
        <v>262</v>
      </c>
    </row>
    <row r="82" spans="1:1" x14ac:dyDescent="0.15">
      <c r="A82" t="s">
        <v>77</v>
      </c>
    </row>
    <row r="83" spans="1:1" x14ac:dyDescent="0.15">
      <c r="A83" t="s">
        <v>1</v>
      </c>
    </row>
    <row r="84" spans="1:1" x14ac:dyDescent="0.15">
      <c r="A84" t="s">
        <v>0</v>
      </c>
    </row>
  </sheetData>
  <mergeCells count="4">
    <mergeCell ref="A1:F1"/>
    <mergeCell ref="B71:C71"/>
    <mergeCell ref="D71:E71"/>
    <mergeCell ref="F71:G7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"/>
  <sheetViews>
    <sheetView topLeftCell="A16" workbookViewId="0">
      <selection activeCell="F7" sqref="F7"/>
    </sheetView>
  </sheetViews>
  <sheetFormatPr defaultRowHeight="13.5" x14ac:dyDescent="0.15"/>
  <cols>
    <col min="1" max="1" width="26.875" customWidth="1"/>
    <col min="2" max="2" width="30.375" customWidth="1"/>
  </cols>
  <sheetData>
    <row r="1" spans="1:4" x14ac:dyDescent="0.15">
      <c r="A1" s="7" t="s">
        <v>261</v>
      </c>
      <c r="B1" s="7" t="s">
        <v>260</v>
      </c>
      <c r="C1" s="7" t="s">
        <v>259</v>
      </c>
      <c r="D1" s="7" t="s">
        <v>258</v>
      </c>
    </row>
    <row r="2" spans="1:4" x14ac:dyDescent="0.15">
      <c r="A2">
        <v>2013</v>
      </c>
      <c r="B2" s="12">
        <v>0.02</v>
      </c>
      <c r="C2">
        <v>0</v>
      </c>
      <c r="D2" t="s">
        <v>256</v>
      </c>
    </row>
    <row r="3" spans="1:4" x14ac:dyDescent="0.15">
      <c r="A3">
        <v>2014</v>
      </c>
      <c r="B3">
        <v>0.02</v>
      </c>
      <c r="C3" s="12">
        <v>0</v>
      </c>
      <c r="D3" t="s">
        <v>255</v>
      </c>
    </row>
    <row r="4" spans="1:4" x14ac:dyDescent="0.15">
      <c r="A4">
        <v>2015</v>
      </c>
      <c r="B4">
        <v>-0.18</v>
      </c>
      <c r="C4">
        <v>0</v>
      </c>
      <c r="D4" t="s">
        <v>254</v>
      </c>
    </row>
    <row r="5" spans="1:4" x14ac:dyDescent="0.15">
      <c r="A5">
        <v>2016</v>
      </c>
      <c r="B5">
        <v>0.01</v>
      </c>
      <c r="C5">
        <v>0</v>
      </c>
      <c r="D5" t="s">
        <v>253</v>
      </c>
    </row>
    <row r="6" spans="1:4" x14ac:dyDescent="0.15">
      <c r="A6">
        <v>2017</v>
      </c>
      <c r="B6">
        <v>7.0000000000000007E-2</v>
      </c>
      <c r="C6">
        <v>0</v>
      </c>
      <c r="D6" t="s">
        <v>252</v>
      </c>
    </row>
    <row r="8" spans="1:4" x14ac:dyDescent="0.15">
      <c r="A8" s="1" t="s">
        <v>251</v>
      </c>
      <c r="B8">
        <v>19.2</v>
      </c>
    </row>
    <row r="9" spans="1:4" x14ac:dyDescent="0.15">
      <c r="A9" s="1" t="s">
        <v>250</v>
      </c>
    </row>
    <row r="10" spans="1:4" x14ac:dyDescent="0.15">
      <c r="A10" t="s">
        <v>249</v>
      </c>
    </row>
    <row r="11" spans="1:4" x14ac:dyDescent="0.15">
      <c r="A11" t="s">
        <v>247</v>
      </c>
    </row>
    <row r="12" spans="1:4" x14ac:dyDescent="0.15">
      <c r="A12" t="s">
        <v>246</v>
      </c>
      <c r="B12">
        <v>23.42</v>
      </c>
      <c r="C12">
        <v>23.42</v>
      </c>
    </row>
    <row r="13" spans="1:4" x14ac:dyDescent="0.15">
      <c r="A13" t="s">
        <v>244</v>
      </c>
      <c r="B13">
        <v>23.42</v>
      </c>
      <c r="C13">
        <v>23.42</v>
      </c>
    </row>
    <row r="14" spans="1:4" x14ac:dyDescent="0.15">
      <c r="A14" t="s">
        <v>243</v>
      </c>
    </row>
    <row r="15" spans="1:4" x14ac:dyDescent="0.15">
      <c r="A15" t="s">
        <v>242</v>
      </c>
    </row>
    <row r="16" spans="1:4" x14ac:dyDescent="0.15">
      <c r="A16" t="s">
        <v>241</v>
      </c>
    </row>
    <row r="17" spans="1:3" x14ac:dyDescent="0.15">
      <c r="A17" s="1" t="s">
        <v>240</v>
      </c>
    </row>
    <row r="18" spans="1:3" x14ac:dyDescent="0.15">
      <c r="A18" t="s">
        <v>239</v>
      </c>
      <c r="B18">
        <v>1.7638</v>
      </c>
      <c r="C18">
        <f>0.9*4</f>
        <v>3.6</v>
      </c>
    </row>
    <row r="19" spans="1:3" x14ac:dyDescent="0.15">
      <c r="A19" t="s">
        <v>238</v>
      </c>
    </row>
    <row r="20" spans="1:3" x14ac:dyDescent="0.15">
      <c r="A20" t="s">
        <v>237</v>
      </c>
      <c r="B20">
        <v>-0.1205</v>
      </c>
      <c r="C20">
        <v>-1.1299999999999999E-2</v>
      </c>
    </row>
    <row r="21" spans="1:3" x14ac:dyDescent="0.15">
      <c r="A21" t="s">
        <v>236</v>
      </c>
    </row>
    <row r="22" spans="1:3" x14ac:dyDescent="0.15">
      <c r="A22" t="s">
        <v>235</v>
      </c>
    </row>
    <row r="23" spans="1:3" x14ac:dyDescent="0.15">
      <c r="A23" t="s">
        <v>234</v>
      </c>
      <c r="B23">
        <v>8.8900000000000007E-2</v>
      </c>
    </row>
    <row r="24" spans="1:3" x14ac:dyDescent="0.15">
      <c r="A24" t="s">
        <v>233</v>
      </c>
      <c r="B24">
        <f>B20/B18</f>
        <v>-6.8318403447102841E-2</v>
      </c>
    </row>
    <row r="25" spans="1:3" x14ac:dyDescent="0.15">
      <c r="A25" s="5" t="s">
        <v>232</v>
      </c>
      <c r="B25">
        <f>-B20/B13</f>
        <v>5.1451750640478218E-3</v>
      </c>
    </row>
    <row r="26" spans="1:3" x14ac:dyDescent="0.15">
      <c r="A26" s="1" t="s">
        <v>231</v>
      </c>
    </row>
    <row r="27" spans="1:3" x14ac:dyDescent="0.15">
      <c r="A27" t="s">
        <v>230</v>
      </c>
    </row>
    <row r="28" spans="1:3" x14ac:dyDescent="0.15">
      <c r="A28" t="s">
        <v>229</v>
      </c>
    </row>
    <row r="29" spans="1:3" x14ac:dyDescent="0.15">
      <c r="A29" t="s">
        <v>228</v>
      </c>
      <c r="B29">
        <v>7.0000000000000007E-2</v>
      </c>
    </row>
    <row r="30" spans="1:3" x14ac:dyDescent="0.15">
      <c r="A30" s="4" t="s">
        <v>227</v>
      </c>
      <c r="B30">
        <f>B29/19.2</f>
        <v>3.6458333333333338E-3</v>
      </c>
    </row>
    <row r="31" spans="1:3" x14ac:dyDescent="0.15">
      <c r="A31" t="s">
        <v>226</v>
      </c>
    </row>
    <row r="32" spans="1:3" x14ac:dyDescent="0.15">
      <c r="A32" t="s">
        <v>225</v>
      </c>
    </row>
    <row r="33" spans="1:2" x14ac:dyDescent="0.15">
      <c r="A33" s="3" t="s">
        <v>224</v>
      </c>
    </row>
    <row r="34" spans="1:2" x14ac:dyDescent="0.15">
      <c r="A34" t="s">
        <v>223</v>
      </c>
    </row>
    <row r="35" spans="1:2" x14ac:dyDescent="0.15">
      <c r="A35" s="1" t="s">
        <v>222</v>
      </c>
    </row>
    <row r="36" spans="1:2" x14ac:dyDescent="0.15">
      <c r="A36" t="s">
        <v>221</v>
      </c>
    </row>
    <row r="37" spans="1:2" x14ac:dyDescent="0.15">
      <c r="A37" t="s">
        <v>220</v>
      </c>
      <c r="B37">
        <f>SUM(B41:B47)/7</f>
        <v>-8.1428571428571406E-2</v>
      </c>
    </row>
    <row r="38" spans="1:2" x14ac:dyDescent="0.15">
      <c r="A38" t="s">
        <v>219</v>
      </c>
      <c r="B38">
        <f>B37/B8</f>
        <v>-4.2410714285714274E-3</v>
      </c>
    </row>
    <row r="39" spans="1:2" x14ac:dyDescent="0.15">
      <c r="A39" s="1" t="s">
        <v>218</v>
      </c>
    </row>
    <row r="40" spans="1:2" x14ac:dyDescent="0.15">
      <c r="A40" t="s">
        <v>217</v>
      </c>
    </row>
    <row r="41" spans="1:2" x14ac:dyDescent="0.15">
      <c r="A41" s="1">
        <v>2011</v>
      </c>
      <c r="B41">
        <v>0.22</v>
      </c>
    </row>
    <row r="42" spans="1:2" x14ac:dyDescent="0.15">
      <c r="A42" s="1">
        <v>2012</v>
      </c>
      <c r="B42">
        <v>-0.73</v>
      </c>
    </row>
    <row r="43" spans="1:2" x14ac:dyDescent="0.15">
      <c r="A43" s="1">
        <v>2013</v>
      </c>
      <c r="B43" s="12">
        <v>0.02</v>
      </c>
    </row>
    <row r="44" spans="1:2" x14ac:dyDescent="0.15">
      <c r="A44" s="1">
        <v>2014</v>
      </c>
      <c r="B44">
        <v>0.02</v>
      </c>
    </row>
    <row r="45" spans="1:2" x14ac:dyDescent="0.15">
      <c r="A45" s="1">
        <v>2015</v>
      </c>
      <c r="B45">
        <v>-0.18</v>
      </c>
    </row>
    <row r="46" spans="1:2" x14ac:dyDescent="0.15">
      <c r="A46" s="1">
        <v>2016</v>
      </c>
      <c r="B46">
        <v>0.01</v>
      </c>
    </row>
    <row r="47" spans="1:2" x14ac:dyDescent="0.15">
      <c r="A47" s="1">
        <v>2017</v>
      </c>
      <c r="B47">
        <v>7.0000000000000007E-2</v>
      </c>
    </row>
    <row r="48" spans="1:2" x14ac:dyDescent="0.15">
      <c r="A48" s="1" t="s">
        <v>216</v>
      </c>
    </row>
    <row r="49" spans="1:2" x14ac:dyDescent="0.15">
      <c r="A49" t="s">
        <v>215</v>
      </c>
    </row>
    <row r="50" spans="1:2" x14ac:dyDescent="0.15">
      <c r="A50" t="s">
        <v>214</v>
      </c>
    </row>
    <row r="51" spans="1:2" x14ac:dyDescent="0.15">
      <c r="A51" t="s">
        <v>213</v>
      </c>
    </row>
    <row r="52" spans="1:2" x14ac:dyDescent="0.15">
      <c r="A52" t="s">
        <v>211</v>
      </c>
    </row>
    <row r="53" spans="1:2" x14ac:dyDescent="0.15">
      <c r="A53" s="1" t="s">
        <v>210</v>
      </c>
    </row>
    <row r="54" spans="1:2" x14ac:dyDescent="0.15">
      <c r="A54" t="s">
        <v>209</v>
      </c>
      <c r="B54">
        <v>0.40620000000000001</v>
      </c>
    </row>
    <row r="55" spans="1:2" x14ac:dyDescent="0.15">
      <c r="A55" t="s">
        <v>208</v>
      </c>
      <c r="B55">
        <v>0.49009999999999998</v>
      </c>
    </row>
    <row r="56" spans="1:2" x14ac:dyDescent="0.15">
      <c r="A56" t="s">
        <v>207</v>
      </c>
      <c r="B56">
        <v>0.56999999999999995</v>
      </c>
    </row>
    <row r="57" spans="1:2" x14ac:dyDescent="0.15">
      <c r="A57" t="s">
        <v>206</v>
      </c>
      <c r="B57">
        <v>2.0706000000000002</v>
      </c>
    </row>
    <row r="58" spans="1:2" x14ac:dyDescent="0.15">
      <c r="A58" t="s">
        <v>205</v>
      </c>
      <c r="B58">
        <v>2.3048999999999999</v>
      </c>
    </row>
    <row r="59" spans="1:2" x14ac:dyDescent="0.15">
      <c r="A59" t="s">
        <v>204</v>
      </c>
      <c r="B59">
        <v>2.1299999999999999E-2</v>
      </c>
    </row>
    <row r="60" spans="1:2" x14ac:dyDescent="0.15">
      <c r="A60" t="s">
        <v>202</v>
      </c>
      <c r="B60">
        <f>B57-B56</f>
        <v>1.5006000000000004</v>
      </c>
    </row>
    <row r="61" spans="1:2" x14ac:dyDescent="0.15">
      <c r="A61" t="s">
        <v>201</v>
      </c>
      <c r="B61">
        <f>B57/B58</f>
        <v>0.89834699986984268</v>
      </c>
    </row>
    <row r="62" spans="1:2" x14ac:dyDescent="0.15">
      <c r="A62" t="s">
        <v>200</v>
      </c>
      <c r="B62">
        <f>B56/B18</f>
        <v>0.32316589182446986</v>
      </c>
    </row>
    <row r="63" spans="1:2" x14ac:dyDescent="0.15">
      <c r="A63" t="s">
        <v>198</v>
      </c>
      <c r="B63">
        <f>B55/B18</f>
        <v>0.27786597119854856</v>
      </c>
    </row>
    <row r="64" spans="1:2" x14ac:dyDescent="0.15">
      <c r="A64" t="s">
        <v>197</v>
      </c>
      <c r="B64">
        <f>0.9722-0.28</f>
        <v>0.69219999999999993</v>
      </c>
    </row>
    <row r="65" spans="1:2" x14ac:dyDescent="0.15">
      <c r="A65" t="s">
        <v>196</v>
      </c>
      <c r="B65">
        <f>(B54-B58)/1.2</f>
        <v>-1.5822499999999999</v>
      </c>
    </row>
    <row r="66" spans="1:2" x14ac:dyDescent="0.15">
      <c r="A66" t="s">
        <v>195</v>
      </c>
      <c r="B66">
        <f>(B60-B58)/1.2</f>
        <v>-0.67024999999999968</v>
      </c>
    </row>
    <row r="67" spans="1:2" x14ac:dyDescent="0.15">
      <c r="A67" t="s">
        <v>194</v>
      </c>
      <c r="B67">
        <f>(B64-B58)/1.2</f>
        <v>-1.3439166666666666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topLeftCell="A7" workbookViewId="0">
      <selection activeCell="E37" sqref="E37"/>
    </sheetView>
  </sheetViews>
  <sheetFormatPr defaultRowHeight="13.5" x14ac:dyDescent="0.15"/>
  <cols>
    <col min="1" max="1" width="69.875" customWidth="1"/>
    <col min="2" max="3" width="15" customWidth="1"/>
    <col min="5" max="5" width="26.25" customWidth="1"/>
    <col min="6" max="6" width="21.25" customWidth="1"/>
  </cols>
  <sheetData>
    <row r="1" spans="1:6" x14ac:dyDescent="0.15">
      <c r="A1" s="7" t="s">
        <v>152</v>
      </c>
      <c r="B1" s="7" t="s">
        <v>151</v>
      </c>
      <c r="C1" s="7" t="s">
        <v>150</v>
      </c>
      <c r="D1" s="7" t="s">
        <v>149</v>
      </c>
      <c r="E1" s="7" t="s">
        <v>148</v>
      </c>
      <c r="F1" s="7" t="s">
        <v>147</v>
      </c>
    </row>
    <row r="2" spans="1:6" x14ac:dyDescent="0.15">
      <c r="A2">
        <v>2012</v>
      </c>
      <c r="B2">
        <v>0.41</v>
      </c>
    </row>
    <row r="3" spans="1:6" x14ac:dyDescent="0.15">
      <c r="A3">
        <v>2013</v>
      </c>
      <c r="B3">
        <v>0.48</v>
      </c>
    </row>
    <row r="4" spans="1:6" x14ac:dyDescent="0.15">
      <c r="A4">
        <v>2014</v>
      </c>
      <c r="B4">
        <v>0.5</v>
      </c>
    </row>
    <row r="5" spans="1:6" x14ac:dyDescent="0.15">
      <c r="A5">
        <v>2015</v>
      </c>
      <c r="B5">
        <v>0.6</v>
      </c>
    </row>
    <row r="6" spans="1:6" x14ac:dyDescent="0.15">
      <c r="A6">
        <v>2016</v>
      </c>
      <c r="B6">
        <v>0.78</v>
      </c>
    </row>
    <row r="7" spans="1:6" x14ac:dyDescent="0.15">
      <c r="A7">
        <v>2017</v>
      </c>
      <c r="B7">
        <v>0.92</v>
      </c>
      <c r="C7">
        <v>0.375</v>
      </c>
      <c r="D7">
        <v>37.549999999999997</v>
      </c>
      <c r="E7" s="2">
        <f>B7/D7</f>
        <v>2.4500665778961386E-2</v>
      </c>
      <c r="F7" s="2">
        <f>C7/D7</f>
        <v>9.986684420772305E-3</v>
      </c>
    </row>
    <row r="8" spans="1:6" x14ac:dyDescent="0.15">
      <c r="A8" s="5" t="s">
        <v>446</v>
      </c>
      <c r="B8" s="14"/>
      <c r="C8" s="14" t="s">
        <v>445</v>
      </c>
    </row>
    <row r="9" spans="1:6" x14ac:dyDescent="0.15">
      <c r="A9" s="14" t="s">
        <v>444</v>
      </c>
      <c r="B9" s="31">
        <f>0.035/0.8761</f>
        <v>3.9949777422668649E-2</v>
      </c>
      <c r="C9" s="31">
        <f>(0.035-0.032)/0.032</f>
        <v>9.3750000000000083E-2</v>
      </c>
    </row>
    <row r="10" spans="1:6" x14ac:dyDescent="0.15">
      <c r="A10" s="1" t="s">
        <v>88</v>
      </c>
      <c r="B10">
        <v>2017</v>
      </c>
      <c r="C10">
        <v>2016</v>
      </c>
    </row>
    <row r="11" spans="1:6" x14ac:dyDescent="0.15">
      <c r="A11" t="s">
        <v>87</v>
      </c>
      <c r="B11" t="s">
        <v>193</v>
      </c>
      <c r="C11" t="s">
        <v>193</v>
      </c>
    </row>
    <row r="12" spans="1:6" x14ac:dyDescent="0.15">
      <c r="A12" t="s">
        <v>86</v>
      </c>
      <c r="B12">
        <v>39671.72</v>
      </c>
      <c r="C12">
        <v>38643.43</v>
      </c>
    </row>
    <row r="13" spans="1:6" x14ac:dyDescent="0.15">
      <c r="A13" t="s">
        <v>85</v>
      </c>
      <c r="B13">
        <f>177426946/B12/10000</f>
        <v>0.44723784600213956</v>
      </c>
      <c r="C13">
        <f>155455813/C12/10000</f>
        <v>0.40228264675263042</v>
      </c>
      <c r="D13">
        <f>(B13-C13)/C13</f>
        <v>0.11175028207754822</v>
      </c>
    </row>
    <row r="14" spans="1:6" x14ac:dyDescent="0.15">
      <c r="A14" t="s">
        <v>84</v>
      </c>
      <c r="B14">
        <f>(54880790+15240662+12266454)/B12/10000</f>
        <v>0.20767414672214868</v>
      </c>
      <c r="C14">
        <f>(50309340+14507878+11724415)/C12/10000</f>
        <v>0.19807152988231116</v>
      </c>
      <c r="D14">
        <f>(B14-C14)/C14</f>
        <v>4.8480550665424421E-2</v>
      </c>
    </row>
    <row r="15" spans="1:6" x14ac:dyDescent="0.15">
      <c r="A15" t="s">
        <v>83</v>
      </c>
      <c r="B15">
        <f>B13-B14</f>
        <v>0.23956369927999088</v>
      </c>
      <c r="C15">
        <f>C13-C14</f>
        <v>0.20421111687031926</v>
      </c>
      <c r="D15">
        <f>(B15-C15)/C15</f>
        <v>0.173117815285843</v>
      </c>
    </row>
    <row r="16" spans="1:6" x14ac:dyDescent="0.15">
      <c r="A16" t="s">
        <v>82</v>
      </c>
      <c r="B16">
        <v>44.5</v>
      </c>
    </row>
    <row r="17" spans="1:2" x14ac:dyDescent="0.15">
      <c r="A17" t="s">
        <v>81</v>
      </c>
    </row>
    <row r="18" spans="1:2" x14ac:dyDescent="0.15">
      <c r="A18" t="s">
        <v>80</v>
      </c>
    </row>
    <row r="19" spans="1:2" x14ac:dyDescent="0.15">
      <c r="A19" t="s">
        <v>79</v>
      </c>
    </row>
    <row r="20" spans="1:2" x14ac:dyDescent="0.15">
      <c r="A20" t="s">
        <v>78</v>
      </c>
    </row>
    <row r="21" spans="1:2" x14ac:dyDescent="0.15">
      <c r="A21" t="s">
        <v>77</v>
      </c>
    </row>
    <row r="22" spans="1:2" x14ac:dyDescent="0.15">
      <c r="A22" t="s">
        <v>76</v>
      </c>
    </row>
    <row r="23" spans="1:2" x14ac:dyDescent="0.15">
      <c r="A23" t="s">
        <v>75</v>
      </c>
    </row>
    <row r="25" spans="1:2" x14ac:dyDescent="0.15">
      <c r="A25" s="1" t="s">
        <v>424</v>
      </c>
    </row>
    <row r="26" spans="1:2" x14ac:dyDescent="0.15">
      <c r="A26" t="s">
        <v>425</v>
      </c>
      <c r="B26" s="2">
        <f>(0.3927-0.0706)/0.8761</f>
        <v>0.36765209450975916</v>
      </c>
    </row>
    <row r="27" spans="1:2" x14ac:dyDescent="0.15">
      <c r="A27" t="s">
        <v>426</v>
      </c>
      <c r="B27" s="2">
        <f>0.3927/4.4</f>
        <v>8.9249999999999996E-2</v>
      </c>
    </row>
    <row r="28" spans="1:2" x14ac:dyDescent="0.15">
      <c r="A28" t="s">
        <v>427</v>
      </c>
    </row>
    <row r="29" spans="1:2" x14ac:dyDescent="0.15">
      <c r="A29" t="s">
        <v>428</v>
      </c>
    </row>
    <row r="30" spans="1:2" x14ac:dyDescent="0.15">
      <c r="A30" t="s">
        <v>429</v>
      </c>
    </row>
    <row r="31" spans="1:2" x14ac:dyDescent="0.15">
      <c r="A31" t="s">
        <v>430</v>
      </c>
      <c r="B31" s="2">
        <f>0.0267/0.4435</f>
        <v>6.0202931228861334E-2</v>
      </c>
    </row>
    <row r="32" spans="1:2" x14ac:dyDescent="0.15">
      <c r="A32" t="s">
        <v>431</v>
      </c>
    </row>
    <row r="33" spans="1:2" x14ac:dyDescent="0.15">
      <c r="A33" t="s">
        <v>432</v>
      </c>
    </row>
    <row r="34" spans="1:2" x14ac:dyDescent="0.15">
      <c r="A34" t="s">
        <v>433</v>
      </c>
    </row>
    <row r="35" spans="1:2" x14ac:dyDescent="0.15">
      <c r="A35" t="s">
        <v>434</v>
      </c>
    </row>
    <row r="36" spans="1:2" x14ac:dyDescent="0.15">
      <c r="A36" t="s">
        <v>435</v>
      </c>
    </row>
    <row r="37" spans="1:2" x14ac:dyDescent="0.15">
      <c r="A37" t="s">
        <v>436</v>
      </c>
    </row>
    <row r="38" spans="1:2" x14ac:dyDescent="0.15">
      <c r="A38" t="s">
        <v>437</v>
      </c>
    </row>
    <row r="39" spans="1:2" x14ac:dyDescent="0.15">
      <c r="A39" t="s">
        <v>438</v>
      </c>
    </row>
    <row r="40" spans="1:2" x14ac:dyDescent="0.15">
      <c r="A40" t="s">
        <v>439</v>
      </c>
    </row>
    <row r="41" spans="1:2" x14ac:dyDescent="0.15">
      <c r="A41" t="s">
        <v>440</v>
      </c>
      <c r="B41">
        <f>3.95/0.2112</f>
        <v>18.702651515151516</v>
      </c>
    </row>
    <row r="42" spans="1:2" x14ac:dyDescent="0.15">
      <c r="A42" t="s">
        <v>441</v>
      </c>
    </row>
    <row r="43" spans="1:2" x14ac:dyDescent="0.15">
      <c r="A43" t="s">
        <v>442</v>
      </c>
      <c r="B43">
        <f>4.4/0.8</f>
        <v>5.5</v>
      </c>
    </row>
    <row r="44" spans="1:2" x14ac:dyDescent="0.15">
      <c r="A44" t="s">
        <v>443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A17" sqref="A17:F17"/>
    </sheetView>
  </sheetViews>
  <sheetFormatPr defaultRowHeight="13.5" x14ac:dyDescent="0.15"/>
  <cols>
    <col min="1" max="1" width="24.25" customWidth="1"/>
  </cols>
  <sheetData>
    <row r="1" spans="1:3" x14ac:dyDescent="0.15">
      <c r="A1" t="s">
        <v>192</v>
      </c>
      <c r="B1">
        <v>2017</v>
      </c>
    </row>
    <row r="2" spans="1:3" x14ac:dyDescent="0.15">
      <c r="A2" s="11" t="s">
        <v>191</v>
      </c>
      <c r="B2" s="11">
        <v>0.59</v>
      </c>
      <c r="C2" s="11">
        <f>SUM(B2:B3)</f>
        <v>0.65900000000000003</v>
      </c>
    </row>
    <row r="3" spans="1:3" x14ac:dyDescent="0.15">
      <c r="A3" s="11" t="s">
        <v>190</v>
      </c>
      <c r="B3" s="11">
        <v>6.9000000000000006E-2</v>
      </c>
      <c r="C3" s="11"/>
    </row>
    <row r="4" spans="1:3" x14ac:dyDescent="0.15">
      <c r="A4" t="s">
        <v>189</v>
      </c>
      <c r="B4">
        <f>0.336-0.371</f>
        <v>-3.4999999999999976E-2</v>
      </c>
    </row>
    <row r="5" spans="1:3" x14ac:dyDescent="0.15">
      <c r="A5" t="s">
        <v>188</v>
      </c>
      <c r="B5">
        <f>0.48-0.08</f>
        <v>0.39999999999999997</v>
      </c>
    </row>
    <row r="6" spans="1:3" x14ac:dyDescent="0.15">
      <c r="A6" t="s">
        <v>187</v>
      </c>
      <c r="B6">
        <v>0.15</v>
      </c>
    </row>
    <row r="7" spans="1:3" x14ac:dyDescent="0.15">
      <c r="A7" t="s">
        <v>186</v>
      </c>
      <c r="B7">
        <v>0.16</v>
      </c>
    </row>
    <row r="8" spans="1:3" x14ac:dyDescent="0.15">
      <c r="A8" s="10" t="s">
        <v>185</v>
      </c>
      <c r="B8" s="10">
        <v>6.4000000000000001E-2</v>
      </c>
      <c r="C8" s="10">
        <f>SUM(B8:B10)</f>
        <v>0.13700000000000001</v>
      </c>
    </row>
    <row r="9" spans="1:3" x14ac:dyDescent="0.15">
      <c r="A9" s="10" t="s">
        <v>184</v>
      </c>
      <c r="B9" s="10">
        <v>1.2E-2</v>
      </c>
      <c r="C9" s="10"/>
    </row>
    <row r="10" spans="1:3" x14ac:dyDescent="0.15">
      <c r="A10" s="10" t="s">
        <v>183</v>
      </c>
      <c r="B10" s="10">
        <v>6.0999999999999999E-2</v>
      </c>
      <c r="C10" s="10"/>
    </row>
    <row r="11" spans="1:3" x14ac:dyDescent="0.15">
      <c r="A11" t="s">
        <v>182</v>
      </c>
      <c r="B11">
        <v>0.66</v>
      </c>
    </row>
    <row r="12" spans="1:3" x14ac:dyDescent="0.15">
      <c r="A12" t="s">
        <v>181</v>
      </c>
      <c r="B12">
        <v>3.3000000000000002E-2</v>
      </c>
    </row>
    <row r="13" spans="1:3" x14ac:dyDescent="0.15">
      <c r="A13" t="s">
        <v>180</v>
      </c>
      <c r="B13">
        <v>-5.7000000000000002E-3</v>
      </c>
    </row>
    <row r="14" spans="1:3" x14ac:dyDescent="0.15">
      <c r="A14" t="s">
        <v>179</v>
      </c>
      <c r="B14">
        <f>0.88/0.4</f>
        <v>2.1999999999999997</v>
      </c>
    </row>
    <row r="15" spans="1:3" x14ac:dyDescent="0.15">
      <c r="B15" t="s">
        <v>178</v>
      </c>
      <c r="C15" s="2">
        <f>0.138/B14</f>
        <v>6.2727272727272743E-2</v>
      </c>
    </row>
    <row r="17" spans="1:6" x14ac:dyDescent="0.15">
      <c r="A17" s="7" t="s">
        <v>152</v>
      </c>
      <c r="B17" s="7" t="s">
        <v>151</v>
      </c>
      <c r="C17" s="7" t="s">
        <v>150</v>
      </c>
      <c r="D17" s="7" t="s">
        <v>149</v>
      </c>
      <c r="E17" s="7" t="s">
        <v>148</v>
      </c>
      <c r="F17" s="7" t="s">
        <v>147</v>
      </c>
    </row>
    <row r="18" spans="1:6" x14ac:dyDescent="0.15">
      <c r="A18">
        <v>2011</v>
      </c>
      <c r="B18">
        <v>0.86</v>
      </c>
      <c r="C18">
        <v>0</v>
      </c>
      <c r="D18">
        <v>5.34</v>
      </c>
      <c r="E18" s="2">
        <f t="shared" ref="E18:E24" si="0">B18/D18</f>
        <v>0.16104868913857678</v>
      </c>
      <c r="F18" s="2">
        <f t="shared" ref="F18:F24" si="1">C18/D18</f>
        <v>0</v>
      </c>
    </row>
    <row r="19" spans="1:6" x14ac:dyDescent="0.15">
      <c r="A19">
        <v>2012</v>
      </c>
      <c r="B19">
        <v>0.28000000000000003</v>
      </c>
      <c r="C19">
        <v>0.1</v>
      </c>
      <c r="D19">
        <v>4.21</v>
      </c>
      <c r="E19" s="2">
        <f t="shared" si="0"/>
        <v>6.6508313539192412E-2</v>
      </c>
      <c r="F19" s="2">
        <f t="shared" si="1"/>
        <v>2.3752969121140145E-2</v>
      </c>
    </row>
    <row r="20" spans="1:6" x14ac:dyDescent="0.15">
      <c r="A20">
        <v>2013</v>
      </c>
      <c r="B20">
        <v>0.28000000000000003</v>
      </c>
      <c r="C20">
        <v>0.05</v>
      </c>
      <c r="D20">
        <v>4.4800000000000004</v>
      </c>
      <c r="E20" s="2">
        <f t="shared" si="0"/>
        <v>6.25E-2</v>
      </c>
      <c r="F20" s="2">
        <f t="shared" si="1"/>
        <v>1.1160714285714286E-2</v>
      </c>
    </row>
    <row r="21" spans="1:6" x14ac:dyDescent="0.15">
      <c r="A21">
        <v>2014</v>
      </c>
      <c r="B21">
        <v>0.03</v>
      </c>
      <c r="C21">
        <v>0.02</v>
      </c>
      <c r="D21">
        <v>4.7699999999999996</v>
      </c>
      <c r="E21" s="2">
        <f t="shared" si="0"/>
        <v>6.2893081761006293E-3</v>
      </c>
      <c r="F21" s="2">
        <f t="shared" si="1"/>
        <v>4.1928721174004195E-3</v>
      </c>
    </row>
    <row r="22" spans="1:6" x14ac:dyDescent="0.15">
      <c r="A22">
        <v>2015</v>
      </c>
      <c r="B22">
        <v>5.5399999999999998E-2</v>
      </c>
      <c r="C22">
        <v>0.01</v>
      </c>
      <c r="D22">
        <v>6.13</v>
      </c>
      <c r="E22" s="2">
        <f t="shared" si="0"/>
        <v>9.037520391517128E-3</v>
      </c>
      <c r="F22" s="2">
        <f t="shared" si="1"/>
        <v>1.6313213703099511E-3</v>
      </c>
    </row>
    <row r="23" spans="1:6" x14ac:dyDescent="0.15">
      <c r="A23">
        <v>2016</v>
      </c>
      <c r="B23">
        <v>-0.43390000000000001</v>
      </c>
      <c r="C23">
        <v>0</v>
      </c>
      <c r="D23">
        <v>9.1999999999999993</v>
      </c>
      <c r="E23" s="2">
        <f t="shared" si="0"/>
        <v>-4.7163043478260877E-2</v>
      </c>
      <c r="F23" s="2">
        <f t="shared" si="1"/>
        <v>0</v>
      </c>
    </row>
    <row r="24" spans="1:6" x14ac:dyDescent="0.15">
      <c r="A24">
        <v>2017</v>
      </c>
      <c r="B24">
        <v>0.06</v>
      </c>
      <c r="C24">
        <v>0</v>
      </c>
      <c r="D24">
        <v>4.58</v>
      </c>
      <c r="E24" s="2">
        <f t="shared" si="0"/>
        <v>1.3100436681222707E-2</v>
      </c>
      <c r="F24" s="2">
        <f t="shared" si="1"/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2"/>
  <sheetViews>
    <sheetView topLeftCell="A64" workbookViewId="0">
      <selection activeCell="A69" sqref="A69:A82"/>
    </sheetView>
  </sheetViews>
  <sheetFormatPr defaultRowHeight="13.5" x14ac:dyDescent="0.15"/>
  <cols>
    <col min="1" max="1" width="29.375" customWidth="1"/>
    <col min="5" max="5" width="9" customWidth="1"/>
    <col min="6" max="6" width="9.5" customWidth="1"/>
    <col min="9" max="9" width="12.625" style="26" customWidth="1"/>
  </cols>
  <sheetData>
    <row r="1" spans="1:10" x14ac:dyDescent="0.15">
      <c r="A1" s="7" t="s">
        <v>152</v>
      </c>
      <c r="B1" s="7" t="s">
        <v>151</v>
      </c>
      <c r="C1" s="7" t="s">
        <v>150</v>
      </c>
      <c r="D1" s="7" t="s">
        <v>149</v>
      </c>
      <c r="E1" s="7" t="s">
        <v>148</v>
      </c>
      <c r="F1" s="7" t="s">
        <v>147</v>
      </c>
      <c r="H1" s="7" t="s">
        <v>345</v>
      </c>
      <c r="I1" s="25" t="s">
        <v>347</v>
      </c>
      <c r="J1" s="7" t="s">
        <v>346</v>
      </c>
    </row>
    <row r="2" spans="1:10" x14ac:dyDescent="0.15">
      <c r="A2">
        <v>2011</v>
      </c>
      <c r="B2" s="26">
        <v>0.67390000000000005</v>
      </c>
      <c r="H2">
        <v>0.70760000000000001</v>
      </c>
      <c r="I2" s="26">
        <f>H2/J2</f>
        <v>0.23048859934853422</v>
      </c>
      <c r="J2">
        <v>3.07</v>
      </c>
    </row>
    <row r="3" spans="1:10" x14ac:dyDescent="0.15">
      <c r="A3">
        <v>2012</v>
      </c>
      <c r="B3" s="26">
        <v>0.49</v>
      </c>
      <c r="H3">
        <v>0.51449999999999996</v>
      </c>
      <c r="I3" s="26">
        <f t="shared" ref="I3:I8" si="0">H3/J3</f>
        <v>0.16758957654723128</v>
      </c>
      <c r="J3">
        <v>3.07</v>
      </c>
    </row>
    <row r="4" spans="1:10" x14ac:dyDescent="0.15">
      <c r="A4">
        <v>2013</v>
      </c>
      <c r="B4" s="26">
        <v>0.84760000000000002</v>
      </c>
      <c r="H4">
        <v>0.89</v>
      </c>
      <c r="I4" s="26">
        <f t="shared" si="0"/>
        <v>0.28990228013029318</v>
      </c>
      <c r="J4">
        <v>3.07</v>
      </c>
    </row>
    <row r="5" spans="1:10" x14ac:dyDescent="0.15">
      <c r="A5">
        <v>2014</v>
      </c>
      <c r="B5" s="26">
        <v>1.0418000000000001</v>
      </c>
      <c r="H5">
        <v>1.19</v>
      </c>
      <c r="I5" s="26">
        <f t="shared" si="0"/>
        <v>0.38762214983713356</v>
      </c>
      <c r="J5">
        <v>3.07</v>
      </c>
    </row>
    <row r="6" spans="1:10" x14ac:dyDescent="0.15">
      <c r="A6">
        <v>2015</v>
      </c>
      <c r="B6" s="26">
        <v>1.25</v>
      </c>
      <c r="C6">
        <v>0.153</v>
      </c>
      <c r="D6">
        <v>20.46</v>
      </c>
      <c r="E6" s="2">
        <f>B6/D6</f>
        <v>6.1094819159335283E-2</v>
      </c>
      <c r="F6" s="2">
        <f>C6/D6</f>
        <v>7.4780058651026391E-3</v>
      </c>
      <c r="H6">
        <v>1.75</v>
      </c>
      <c r="I6" s="26">
        <f t="shared" si="0"/>
        <v>0.57003257328990231</v>
      </c>
      <c r="J6">
        <v>3.07</v>
      </c>
    </row>
    <row r="7" spans="1:10" x14ac:dyDescent="0.15">
      <c r="A7">
        <v>2016</v>
      </c>
      <c r="B7" s="26">
        <v>1.25</v>
      </c>
      <c r="C7">
        <v>0.6</v>
      </c>
      <c r="D7">
        <v>27.07</v>
      </c>
      <c r="E7" s="2">
        <f>B7/D7</f>
        <v>4.6176579239009974E-2</v>
      </c>
      <c r="F7" s="2">
        <f>C7/D7</f>
        <v>2.2164758034724785E-2</v>
      </c>
      <c r="H7">
        <v>2.62</v>
      </c>
      <c r="I7" s="26">
        <f t="shared" si="0"/>
        <v>0.85342019543973946</v>
      </c>
      <c r="J7">
        <v>3.07</v>
      </c>
    </row>
    <row r="8" spans="1:10" x14ac:dyDescent="0.15">
      <c r="A8">
        <v>2017</v>
      </c>
      <c r="B8" s="26">
        <v>1.27</v>
      </c>
      <c r="C8">
        <v>0.7</v>
      </c>
      <c r="D8">
        <v>21.66</v>
      </c>
      <c r="E8" s="2">
        <f>B8/D8</f>
        <v>5.8633425669436752E-2</v>
      </c>
      <c r="F8" s="2">
        <f>C8/D8</f>
        <v>3.2317636195752536E-2</v>
      </c>
      <c r="H8">
        <v>2.78</v>
      </c>
      <c r="I8" s="26">
        <f t="shared" si="0"/>
        <v>0.90553745928338758</v>
      </c>
      <c r="J8">
        <v>3.07</v>
      </c>
    </row>
    <row r="11" spans="1:10" x14ac:dyDescent="0.15">
      <c r="A11" s="1" t="s">
        <v>141</v>
      </c>
      <c r="B11">
        <v>16.8</v>
      </c>
    </row>
    <row r="12" spans="1:10" x14ac:dyDescent="0.15">
      <c r="A12" s="1" t="s">
        <v>140</v>
      </c>
    </row>
    <row r="13" spans="1:10" x14ac:dyDescent="0.15">
      <c r="A13" t="s">
        <v>139</v>
      </c>
      <c r="B13">
        <v>0</v>
      </c>
    </row>
    <row r="14" spans="1:10" x14ac:dyDescent="0.15">
      <c r="A14" t="s">
        <v>138</v>
      </c>
      <c r="B14">
        <v>0</v>
      </c>
    </row>
    <row r="15" spans="1:10" x14ac:dyDescent="0.15">
      <c r="A15" t="s">
        <v>137</v>
      </c>
      <c r="B15">
        <v>51.7</v>
      </c>
    </row>
    <row r="16" spans="1:10" x14ac:dyDescent="0.15">
      <c r="A16" t="s">
        <v>136</v>
      </c>
      <c r="B16">
        <v>51.7</v>
      </c>
    </row>
    <row r="17" spans="1:2" x14ac:dyDescent="0.15">
      <c r="A17" t="s">
        <v>135</v>
      </c>
      <c r="B17">
        <v>0</v>
      </c>
    </row>
    <row r="18" spans="1:2" x14ac:dyDescent="0.15">
      <c r="A18" t="s">
        <v>134</v>
      </c>
      <c r="B18">
        <v>0</v>
      </c>
    </row>
    <row r="19" spans="1:2" x14ac:dyDescent="0.15">
      <c r="A19" t="s">
        <v>133</v>
      </c>
      <c r="B19" s="6">
        <v>1</v>
      </c>
    </row>
    <row r="20" spans="1:2" x14ac:dyDescent="0.15">
      <c r="A20" s="1" t="s">
        <v>132</v>
      </c>
    </row>
    <row r="21" spans="1:2" x14ac:dyDescent="0.15">
      <c r="A21" t="s">
        <v>131</v>
      </c>
      <c r="B21">
        <v>9.89</v>
      </c>
    </row>
    <row r="22" spans="1:2" x14ac:dyDescent="0.15">
      <c r="A22" t="s">
        <v>130</v>
      </c>
      <c r="B22">
        <v>0.5</v>
      </c>
    </row>
    <row r="23" spans="1:2" x14ac:dyDescent="0.15">
      <c r="A23" t="s">
        <v>129</v>
      </c>
      <c r="B23">
        <v>3.23</v>
      </c>
    </row>
    <row r="24" spans="1:2" x14ac:dyDescent="0.15">
      <c r="A24" t="s">
        <v>128</v>
      </c>
      <c r="B24">
        <v>0</v>
      </c>
    </row>
    <row r="25" spans="1:2" x14ac:dyDescent="0.15">
      <c r="A25" t="s">
        <v>127</v>
      </c>
      <c r="B25">
        <v>0</v>
      </c>
    </row>
    <row r="26" spans="1:2" x14ac:dyDescent="0.15">
      <c r="A26" t="s">
        <v>126</v>
      </c>
      <c r="B26">
        <v>2.78</v>
      </c>
    </row>
    <row r="27" spans="1:2" x14ac:dyDescent="0.15">
      <c r="A27" t="s">
        <v>125</v>
      </c>
      <c r="B27" s="2">
        <f>B23/B21</f>
        <v>0.32659251769464104</v>
      </c>
    </row>
    <row r="28" spans="1:2" x14ac:dyDescent="0.15">
      <c r="A28" s="5" t="s">
        <v>124</v>
      </c>
      <c r="B28" s="2">
        <f>B23/B16</f>
        <v>6.2475822050290133E-2</v>
      </c>
    </row>
    <row r="29" spans="1:2" x14ac:dyDescent="0.15">
      <c r="A29" s="1" t="s">
        <v>123</v>
      </c>
    </row>
    <row r="30" spans="1:2" x14ac:dyDescent="0.15">
      <c r="A30" t="s">
        <v>122</v>
      </c>
    </row>
    <row r="31" spans="1:2" x14ac:dyDescent="0.15">
      <c r="A31" t="s">
        <v>121</v>
      </c>
    </row>
    <row r="32" spans="1:2" x14ac:dyDescent="0.15">
      <c r="A32" t="s">
        <v>120</v>
      </c>
      <c r="B32">
        <v>1.27</v>
      </c>
    </row>
    <row r="33" spans="1:2" x14ac:dyDescent="0.15">
      <c r="A33" s="4" t="s">
        <v>119</v>
      </c>
      <c r="B33" s="2">
        <f>E8</f>
        <v>5.8633425669436752E-2</v>
      </c>
    </row>
    <row r="34" spans="1:2" x14ac:dyDescent="0.15">
      <c r="A34" t="s">
        <v>118</v>
      </c>
    </row>
    <row r="35" spans="1:2" x14ac:dyDescent="0.15">
      <c r="A35" t="s">
        <v>117</v>
      </c>
    </row>
    <row r="36" spans="1:2" x14ac:dyDescent="0.15">
      <c r="A36" s="3" t="s">
        <v>116</v>
      </c>
      <c r="B36" s="2">
        <f>B21/B16</f>
        <v>0.19129593810444875</v>
      </c>
    </row>
    <row r="37" spans="1:2" x14ac:dyDescent="0.15">
      <c r="A37" t="s">
        <v>115</v>
      </c>
    </row>
    <row r="38" spans="1:2" x14ac:dyDescent="0.15">
      <c r="A38" s="1" t="s">
        <v>114</v>
      </c>
    </row>
    <row r="39" spans="1:2" x14ac:dyDescent="0.15">
      <c r="A39" t="s">
        <v>113</v>
      </c>
    </row>
    <row r="40" spans="1:2" x14ac:dyDescent="0.15">
      <c r="A40" t="s">
        <v>112</v>
      </c>
      <c r="B40">
        <f>SUM(B2:B8)/7</f>
        <v>0.97475714285714277</v>
      </c>
    </row>
    <row r="41" spans="1:2" x14ac:dyDescent="0.15">
      <c r="A41" t="s">
        <v>111</v>
      </c>
      <c r="B41" s="2">
        <f>B40/B11</f>
        <v>5.8021258503401354E-2</v>
      </c>
    </row>
    <row r="42" spans="1:2" x14ac:dyDescent="0.15">
      <c r="A42" s="1" t="s">
        <v>110</v>
      </c>
    </row>
    <row r="43" spans="1:2" x14ac:dyDescent="0.15">
      <c r="A43" t="s">
        <v>109</v>
      </c>
    </row>
    <row r="44" spans="1:2" x14ac:dyDescent="0.15">
      <c r="A44" s="1">
        <v>2011</v>
      </c>
      <c r="B44">
        <v>0.67390000000000005</v>
      </c>
    </row>
    <row r="45" spans="1:2" x14ac:dyDescent="0.15">
      <c r="A45" s="1">
        <v>2012</v>
      </c>
      <c r="B45">
        <v>0.49</v>
      </c>
    </row>
    <row r="46" spans="1:2" x14ac:dyDescent="0.15">
      <c r="A46" s="1">
        <v>2013</v>
      </c>
      <c r="B46">
        <v>0.84760000000000002</v>
      </c>
    </row>
    <row r="47" spans="1:2" x14ac:dyDescent="0.15">
      <c r="A47" s="1">
        <v>2014</v>
      </c>
      <c r="B47">
        <v>1.0418000000000001</v>
      </c>
    </row>
    <row r="48" spans="1:2" x14ac:dyDescent="0.15">
      <c r="A48" s="1">
        <v>2015</v>
      </c>
      <c r="B48">
        <v>1.25</v>
      </c>
    </row>
    <row r="49" spans="1:2" x14ac:dyDescent="0.15">
      <c r="A49" s="1">
        <v>2016</v>
      </c>
      <c r="B49">
        <v>1.25</v>
      </c>
    </row>
    <row r="50" spans="1:2" x14ac:dyDescent="0.15">
      <c r="A50" s="1">
        <v>2017</v>
      </c>
      <c r="B50">
        <v>1.27</v>
      </c>
    </row>
    <row r="51" spans="1:2" x14ac:dyDescent="0.15">
      <c r="A51" s="1" t="s">
        <v>108</v>
      </c>
    </row>
    <row r="52" spans="1:2" x14ac:dyDescent="0.15">
      <c r="A52" t="s">
        <v>105</v>
      </c>
    </row>
    <row r="53" spans="1:2" x14ac:dyDescent="0.15">
      <c r="A53" t="s">
        <v>104</v>
      </c>
    </row>
    <row r="54" spans="1:2" x14ac:dyDescent="0.15">
      <c r="A54" s="1" t="s">
        <v>103</v>
      </c>
    </row>
    <row r="55" spans="1:2" x14ac:dyDescent="0.15">
      <c r="A55" t="s">
        <v>102</v>
      </c>
      <c r="B55">
        <v>8.56</v>
      </c>
    </row>
    <row r="56" spans="1:2" x14ac:dyDescent="0.15">
      <c r="A56" t="s">
        <v>101</v>
      </c>
      <c r="B56">
        <f>3.13+0.97</f>
        <v>4.0999999999999996</v>
      </c>
    </row>
    <row r="57" spans="1:2" x14ac:dyDescent="0.15">
      <c r="A57" t="s">
        <v>100</v>
      </c>
      <c r="B57">
        <v>0.99</v>
      </c>
    </row>
    <row r="58" spans="1:2" x14ac:dyDescent="0.15">
      <c r="A58" t="s">
        <v>99</v>
      </c>
      <c r="B58">
        <v>18.3</v>
      </c>
    </row>
    <row r="59" spans="1:2" x14ac:dyDescent="0.15">
      <c r="A59" t="s">
        <v>98</v>
      </c>
      <c r="B59">
        <v>2.44</v>
      </c>
    </row>
    <row r="60" spans="1:2" x14ac:dyDescent="0.15">
      <c r="A60" t="s">
        <v>97</v>
      </c>
      <c r="B60">
        <f>1.26</f>
        <v>1.26</v>
      </c>
    </row>
    <row r="61" spans="1:2" x14ac:dyDescent="0.15">
      <c r="A61" t="s">
        <v>96</v>
      </c>
      <c r="B61">
        <f>B58-B57</f>
        <v>17.310000000000002</v>
      </c>
    </row>
    <row r="62" spans="1:2" x14ac:dyDescent="0.15">
      <c r="A62" t="s">
        <v>95</v>
      </c>
      <c r="B62">
        <f>B58/B59</f>
        <v>7.5000000000000009</v>
      </c>
    </row>
    <row r="63" spans="1:2" x14ac:dyDescent="0.15">
      <c r="A63" t="s">
        <v>94</v>
      </c>
      <c r="B63" s="2">
        <f>B57/B21</f>
        <v>0.10010111223458037</v>
      </c>
    </row>
    <row r="64" spans="1:2" x14ac:dyDescent="0.15">
      <c r="A64" t="s">
        <v>93</v>
      </c>
      <c r="B64" s="2">
        <f>B56/B21</f>
        <v>0.41456016177957528</v>
      </c>
    </row>
    <row r="65" spans="1:4" x14ac:dyDescent="0.15">
      <c r="A65" t="s">
        <v>92</v>
      </c>
      <c r="B65">
        <f>21.45-0.35</f>
        <v>21.099999999999998</v>
      </c>
    </row>
    <row r="66" spans="1:4" x14ac:dyDescent="0.15">
      <c r="A66" t="s">
        <v>91</v>
      </c>
      <c r="B66">
        <f>B55/3.07</f>
        <v>2.7882736156351795</v>
      </c>
    </row>
    <row r="67" spans="1:4" x14ac:dyDescent="0.15">
      <c r="A67" t="s">
        <v>90</v>
      </c>
      <c r="B67">
        <f>B61/3.07</f>
        <v>5.6384364820846917</v>
      </c>
    </row>
    <row r="68" spans="1:4" x14ac:dyDescent="0.15">
      <c r="A68" t="s">
        <v>89</v>
      </c>
      <c r="B68">
        <f>B65/3.07</f>
        <v>6.872964169381107</v>
      </c>
    </row>
    <row r="69" spans="1:4" x14ac:dyDescent="0.15">
      <c r="A69" s="1" t="s">
        <v>88</v>
      </c>
      <c r="B69" t="s">
        <v>177</v>
      </c>
      <c r="D69">
        <v>2015</v>
      </c>
    </row>
    <row r="70" spans="1:4" x14ac:dyDescent="0.15">
      <c r="A70" t="s">
        <v>87</v>
      </c>
      <c r="B70" t="s">
        <v>176</v>
      </c>
      <c r="C70" t="s">
        <v>176</v>
      </c>
      <c r="D70" t="s">
        <v>176</v>
      </c>
    </row>
    <row r="71" spans="1:4" ht="13.5" customHeight="1" x14ac:dyDescent="0.15">
      <c r="A71" t="s">
        <v>86</v>
      </c>
      <c r="B71">
        <v>2379</v>
      </c>
      <c r="C71">
        <v>2082</v>
      </c>
      <c r="D71">
        <v>1601</v>
      </c>
    </row>
    <row r="72" spans="1:4" x14ac:dyDescent="0.15">
      <c r="A72" t="s">
        <v>85</v>
      </c>
      <c r="B72">
        <f>9.55/0.2379</f>
        <v>40.142917192097521</v>
      </c>
      <c r="C72">
        <f>8.5/0.2082</f>
        <v>40.826128722382329</v>
      </c>
      <c r="D72">
        <f>5.94/0.1601</f>
        <v>37.101811367895067</v>
      </c>
    </row>
    <row r="73" spans="1:4" x14ac:dyDescent="0.15">
      <c r="A73" t="s">
        <v>84</v>
      </c>
      <c r="B73">
        <f>5.48/0.2379</f>
        <v>23.034888608659102</v>
      </c>
      <c r="C73">
        <f>4.5/0.2082</f>
        <v>21.613832853025936</v>
      </c>
      <c r="D73">
        <f>3.38/0.1601</f>
        <v>21.111805121798877</v>
      </c>
    </row>
    <row r="74" spans="1:4" x14ac:dyDescent="0.15">
      <c r="A74" t="s">
        <v>83</v>
      </c>
      <c r="B74">
        <f>B72-B73</f>
        <v>17.108028583438418</v>
      </c>
      <c r="C74">
        <f>C72-C73</f>
        <v>19.212295869356392</v>
      </c>
      <c r="D74">
        <f>D72-D73</f>
        <v>15.99000624609619</v>
      </c>
    </row>
    <row r="75" spans="1:4" x14ac:dyDescent="0.15">
      <c r="A75" t="s">
        <v>82</v>
      </c>
    </row>
    <row r="76" spans="1:4" x14ac:dyDescent="0.15">
      <c r="A76" t="s">
        <v>81</v>
      </c>
    </row>
    <row r="77" spans="1:4" x14ac:dyDescent="0.15">
      <c r="A77" t="s">
        <v>80</v>
      </c>
    </row>
    <row r="78" spans="1:4" x14ac:dyDescent="0.15">
      <c r="A78" t="s">
        <v>79</v>
      </c>
    </row>
    <row r="79" spans="1:4" x14ac:dyDescent="0.15">
      <c r="A79" t="s">
        <v>78</v>
      </c>
    </row>
    <row r="80" spans="1:4" x14ac:dyDescent="0.15">
      <c r="A80" t="s">
        <v>77</v>
      </c>
    </row>
    <row r="81" spans="1:1" x14ac:dyDescent="0.15">
      <c r="A81" t="s">
        <v>76</v>
      </c>
    </row>
    <row r="82" spans="1:1" x14ac:dyDescent="0.15">
      <c r="A82" t="s">
        <v>75</v>
      </c>
    </row>
  </sheetData>
  <autoFilter ref="B63:B82">
    <filterColumn colId="0">
      <colorFilter dxfId="0" cellColor="0"/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G16" sqref="G16"/>
    </sheetView>
  </sheetViews>
  <sheetFormatPr defaultRowHeight="13.5" x14ac:dyDescent="0.15"/>
  <sheetData>
    <row r="1" spans="1:14" x14ac:dyDescent="0.15">
      <c r="A1" s="7" t="s">
        <v>175</v>
      </c>
      <c r="B1" s="7" t="s">
        <v>174</v>
      </c>
      <c r="C1" s="7" t="s">
        <v>173</v>
      </c>
      <c r="D1" s="7" t="s">
        <v>172</v>
      </c>
      <c r="E1" s="7" t="s">
        <v>171</v>
      </c>
      <c r="F1" s="7" t="s">
        <v>170</v>
      </c>
      <c r="G1" s="7" t="s">
        <v>169</v>
      </c>
      <c r="H1" s="7" t="s">
        <v>168</v>
      </c>
      <c r="I1" s="7" t="s">
        <v>167</v>
      </c>
      <c r="J1" s="7" t="s">
        <v>166</v>
      </c>
      <c r="K1" s="7" t="s">
        <v>165</v>
      </c>
      <c r="L1" s="7" t="s">
        <v>164</v>
      </c>
      <c r="M1" s="7" t="s">
        <v>163</v>
      </c>
      <c r="N1" s="7" t="s">
        <v>162</v>
      </c>
    </row>
    <row r="2" spans="1:14" x14ac:dyDescent="0.15">
      <c r="A2">
        <v>2015</v>
      </c>
      <c r="B2">
        <v>1.0900000000000001</v>
      </c>
      <c r="M2">
        <f>SUM(B2:B4)/3</f>
        <v>0.97000000000000008</v>
      </c>
      <c r="N2">
        <f>SUM(B2:B4)</f>
        <v>2.91</v>
      </c>
    </row>
    <row r="3" spans="1:14" x14ac:dyDescent="0.15">
      <c r="A3">
        <v>2016</v>
      </c>
      <c r="B3">
        <v>1.07</v>
      </c>
    </row>
    <row r="4" spans="1:14" x14ac:dyDescent="0.15">
      <c r="A4">
        <v>2017</v>
      </c>
      <c r="B4">
        <v>0.75</v>
      </c>
    </row>
    <row r="5" spans="1:14" x14ac:dyDescent="0.15">
      <c r="B5">
        <f>SUM(B2:B4)/3</f>
        <v>0.97000000000000008</v>
      </c>
    </row>
    <row r="6" spans="1:14" x14ac:dyDescent="0.15">
      <c r="A6" s="7"/>
      <c r="B6" s="7" t="s">
        <v>161</v>
      </c>
      <c r="C6" s="7" t="s">
        <v>160</v>
      </c>
      <c r="D6" s="7" t="s">
        <v>159</v>
      </c>
      <c r="E6" s="7" t="s">
        <v>158</v>
      </c>
      <c r="F6" s="7" t="s">
        <v>157</v>
      </c>
    </row>
    <row r="7" spans="1:14" x14ac:dyDescent="0.15">
      <c r="B7">
        <v>0.34</v>
      </c>
      <c r="C7">
        <v>9.81</v>
      </c>
      <c r="D7" s="9">
        <v>1.38</v>
      </c>
      <c r="E7" s="2">
        <f>B7/C7</f>
        <v>3.4658511722731905E-2</v>
      </c>
      <c r="F7" s="2">
        <f>B7/D7</f>
        <v>0.24637681159420294</v>
      </c>
    </row>
    <row r="8" spans="1:14" x14ac:dyDescent="0.15">
      <c r="B8">
        <v>0.36</v>
      </c>
      <c r="C8">
        <v>10.48</v>
      </c>
      <c r="D8" s="9">
        <v>1.49</v>
      </c>
      <c r="E8" s="2">
        <f>B8/C8</f>
        <v>3.4351145038167934E-2</v>
      </c>
      <c r="F8" s="2">
        <f>B8/D8</f>
        <v>0.24161073825503354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"/>
  <sheetViews>
    <sheetView topLeftCell="A73" workbookViewId="0">
      <selection activeCell="D92" sqref="D92"/>
    </sheetView>
  </sheetViews>
  <sheetFormatPr defaultRowHeight="13.5" x14ac:dyDescent="0.15"/>
  <cols>
    <col min="1" max="1" width="40" customWidth="1"/>
  </cols>
  <sheetData>
    <row r="1" spans="1:13" x14ac:dyDescent="0.15">
      <c r="A1" s="7" t="s">
        <v>74</v>
      </c>
      <c r="B1" s="7" t="s">
        <v>73</v>
      </c>
      <c r="C1" s="7" t="s">
        <v>72</v>
      </c>
      <c r="D1" s="7" t="s">
        <v>71</v>
      </c>
      <c r="E1" s="7" t="s">
        <v>70</v>
      </c>
      <c r="F1" s="7" t="s">
        <v>69</v>
      </c>
      <c r="G1" s="7" t="s">
        <v>68</v>
      </c>
      <c r="H1" s="7" t="s">
        <v>67</v>
      </c>
      <c r="I1" s="7" t="s">
        <v>156</v>
      </c>
      <c r="J1" s="7" t="s">
        <v>155</v>
      </c>
      <c r="K1" s="7" t="s">
        <v>154</v>
      </c>
      <c r="L1" s="7" t="s">
        <v>153</v>
      </c>
      <c r="M1">
        <v>2020</v>
      </c>
    </row>
    <row r="2" spans="1:13" x14ac:dyDescent="0.15">
      <c r="A2">
        <v>2011</v>
      </c>
    </row>
    <row r="3" spans="1:13" x14ac:dyDescent="0.15">
      <c r="A3">
        <v>2012</v>
      </c>
    </row>
    <row r="4" spans="1:13" x14ac:dyDescent="0.15">
      <c r="A4">
        <v>2013</v>
      </c>
    </row>
    <row r="5" spans="1:13" x14ac:dyDescent="0.15">
      <c r="A5">
        <v>2014</v>
      </c>
    </row>
    <row r="6" spans="1:13" x14ac:dyDescent="0.15">
      <c r="A6">
        <v>2015</v>
      </c>
    </row>
    <row r="7" spans="1:13" x14ac:dyDescent="0.15">
      <c r="A7">
        <v>2016</v>
      </c>
      <c r="B7">
        <v>-4.41E-2</v>
      </c>
    </row>
    <row r="8" spans="1:13" x14ac:dyDescent="0.15">
      <c r="A8">
        <v>2017</v>
      </c>
      <c r="B8">
        <v>2.0099999999999998</v>
      </c>
      <c r="I8">
        <v>3.5</v>
      </c>
      <c r="J8">
        <v>54</v>
      </c>
      <c r="K8">
        <v>3.47</v>
      </c>
      <c r="L8" s="8">
        <f>37/7</f>
        <v>5.2857142857142856</v>
      </c>
    </row>
    <row r="10" spans="1:13" x14ac:dyDescent="0.15">
      <c r="A10" s="1" t="s">
        <v>66</v>
      </c>
    </row>
    <row r="11" spans="1:13" x14ac:dyDescent="0.15">
      <c r="A11" s="1" t="s">
        <v>65</v>
      </c>
    </row>
    <row r="12" spans="1:13" x14ac:dyDescent="0.15">
      <c r="A12" t="s">
        <v>64</v>
      </c>
    </row>
    <row r="13" spans="1:13" x14ac:dyDescent="0.15">
      <c r="A13" t="s">
        <v>63</v>
      </c>
    </row>
    <row r="14" spans="1:13" x14ac:dyDescent="0.15">
      <c r="A14" t="s">
        <v>62</v>
      </c>
    </row>
    <row r="15" spans="1:13" x14ac:dyDescent="0.15">
      <c r="A15" t="s">
        <v>61</v>
      </c>
    </row>
    <row r="16" spans="1:13" x14ac:dyDescent="0.15">
      <c r="A16" t="s">
        <v>60</v>
      </c>
    </row>
    <row r="17" spans="1:1" x14ac:dyDescent="0.15">
      <c r="A17" t="s">
        <v>59</v>
      </c>
    </row>
    <row r="18" spans="1:1" x14ac:dyDescent="0.15">
      <c r="A18" t="s">
        <v>58</v>
      </c>
    </row>
    <row r="19" spans="1:1" x14ac:dyDescent="0.15">
      <c r="A19" s="1" t="s">
        <v>57</v>
      </c>
    </row>
    <row r="20" spans="1:1" x14ac:dyDescent="0.15">
      <c r="A20" t="s">
        <v>56</v>
      </c>
    </row>
    <row r="21" spans="1:1" x14ac:dyDescent="0.15">
      <c r="A21" t="s">
        <v>55</v>
      </c>
    </row>
    <row r="22" spans="1:1" x14ac:dyDescent="0.15">
      <c r="A22" t="s">
        <v>54</v>
      </c>
    </row>
    <row r="23" spans="1:1" x14ac:dyDescent="0.15">
      <c r="A23" t="s">
        <v>53</v>
      </c>
    </row>
    <row r="24" spans="1:1" x14ac:dyDescent="0.15">
      <c r="A24" t="s">
        <v>52</v>
      </c>
    </row>
    <row r="25" spans="1:1" x14ac:dyDescent="0.15">
      <c r="A25" t="s">
        <v>51</v>
      </c>
    </row>
    <row r="26" spans="1:1" x14ac:dyDescent="0.15">
      <c r="A26" t="s">
        <v>50</v>
      </c>
    </row>
    <row r="27" spans="1:1" x14ac:dyDescent="0.15">
      <c r="A27" s="5" t="s">
        <v>49</v>
      </c>
    </row>
    <row r="28" spans="1:1" x14ac:dyDescent="0.15">
      <c r="A28" s="1" t="s">
        <v>48</v>
      </c>
    </row>
    <row r="29" spans="1:1" x14ac:dyDescent="0.15">
      <c r="A29" t="s">
        <v>47</v>
      </c>
    </row>
    <row r="30" spans="1:1" x14ac:dyDescent="0.15">
      <c r="A30" t="s">
        <v>46</v>
      </c>
    </row>
    <row r="31" spans="1:1" x14ac:dyDescent="0.15">
      <c r="A31" t="s">
        <v>45</v>
      </c>
    </row>
    <row r="32" spans="1:1" x14ac:dyDescent="0.15">
      <c r="A32" s="4" t="s">
        <v>44</v>
      </c>
    </row>
    <row r="33" spans="1:1" x14ac:dyDescent="0.15">
      <c r="A33" t="s">
        <v>43</v>
      </c>
    </row>
    <row r="34" spans="1:1" x14ac:dyDescent="0.15">
      <c r="A34" t="s">
        <v>42</v>
      </c>
    </row>
    <row r="35" spans="1:1" x14ac:dyDescent="0.15">
      <c r="A35" s="3" t="s">
        <v>41</v>
      </c>
    </row>
    <row r="36" spans="1:1" x14ac:dyDescent="0.15">
      <c r="A36" t="s">
        <v>40</v>
      </c>
    </row>
    <row r="37" spans="1:1" x14ac:dyDescent="0.15">
      <c r="A37" s="1" t="s">
        <v>39</v>
      </c>
    </row>
    <row r="38" spans="1:1" x14ac:dyDescent="0.15">
      <c r="A38" t="s">
        <v>38</v>
      </c>
    </row>
    <row r="39" spans="1:1" x14ac:dyDescent="0.15">
      <c r="A39" t="s">
        <v>37</v>
      </c>
    </row>
    <row r="40" spans="1:1" x14ac:dyDescent="0.15">
      <c r="A40" t="s">
        <v>36</v>
      </c>
    </row>
    <row r="41" spans="1:1" x14ac:dyDescent="0.15">
      <c r="A41" s="1" t="s">
        <v>35</v>
      </c>
    </row>
    <row r="42" spans="1:1" x14ac:dyDescent="0.15">
      <c r="A42" t="s">
        <v>34</v>
      </c>
    </row>
    <row r="43" spans="1:1" x14ac:dyDescent="0.15">
      <c r="A43" s="1">
        <v>2011</v>
      </c>
    </row>
    <row r="44" spans="1:1" x14ac:dyDescent="0.15">
      <c r="A44" s="1">
        <v>2012</v>
      </c>
    </row>
    <row r="45" spans="1:1" x14ac:dyDescent="0.15">
      <c r="A45" s="1">
        <v>2013</v>
      </c>
    </row>
    <row r="46" spans="1:1" x14ac:dyDescent="0.15">
      <c r="A46" s="1">
        <v>2014</v>
      </c>
    </row>
    <row r="47" spans="1:1" x14ac:dyDescent="0.15">
      <c r="A47" s="1">
        <v>2015</v>
      </c>
    </row>
    <row r="48" spans="1:1" x14ac:dyDescent="0.15">
      <c r="A48" s="1">
        <v>2016</v>
      </c>
    </row>
    <row r="49" spans="1:1" x14ac:dyDescent="0.15">
      <c r="A49" s="1">
        <v>2017</v>
      </c>
    </row>
    <row r="50" spans="1:1" x14ac:dyDescent="0.15">
      <c r="A50" s="1" t="s">
        <v>33</v>
      </c>
    </row>
    <row r="51" spans="1:1" x14ac:dyDescent="0.15">
      <c r="A51" t="s">
        <v>32</v>
      </c>
    </row>
    <row r="52" spans="1:1" x14ac:dyDescent="0.15">
      <c r="A52" s="1">
        <v>2011</v>
      </c>
    </row>
    <row r="53" spans="1:1" x14ac:dyDescent="0.15">
      <c r="A53" s="1">
        <v>2012</v>
      </c>
    </row>
    <row r="54" spans="1:1" x14ac:dyDescent="0.15">
      <c r="A54" s="1">
        <v>2013</v>
      </c>
    </row>
    <row r="55" spans="1:1" x14ac:dyDescent="0.15">
      <c r="A55" s="1">
        <v>2014</v>
      </c>
    </row>
    <row r="56" spans="1:1" x14ac:dyDescent="0.15">
      <c r="A56" s="1">
        <v>2015</v>
      </c>
    </row>
    <row r="57" spans="1:1" x14ac:dyDescent="0.15">
      <c r="A57" s="1">
        <v>2016</v>
      </c>
    </row>
    <row r="58" spans="1:1" x14ac:dyDescent="0.15">
      <c r="A58" s="1">
        <v>2017</v>
      </c>
    </row>
    <row r="59" spans="1:1" x14ac:dyDescent="0.15">
      <c r="A59" t="s">
        <v>31</v>
      </c>
    </row>
    <row r="60" spans="1:1" x14ac:dyDescent="0.15">
      <c r="A60" s="1">
        <v>2011</v>
      </c>
    </row>
    <row r="61" spans="1:1" x14ac:dyDescent="0.15">
      <c r="A61" s="1">
        <v>2012</v>
      </c>
    </row>
    <row r="62" spans="1:1" x14ac:dyDescent="0.15">
      <c r="A62" s="1">
        <v>2013</v>
      </c>
    </row>
    <row r="63" spans="1:1" x14ac:dyDescent="0.15">
      <c r="A63" s="1">
        <v>2014</v>
      </c>
    </row>
    <row r="64" spans="1:1" x14ac:dyDescent="0.15">
      <c r="A64" s="1">
        <v>2015</v>
      </c>
    </row>
    <row r="65" spans="1:1" x14ac:dyDescent="0.15">
      <c r="A65" s="1">
        <v>2016</v>
      </c>
    </row>
    <row r="66" spans="1:1" x14ac:dyDescent="0.15">
      <c r="A66" s="1">
        <v>2017</v>
      </c>
    </row>
    <row r="67" spans="1:1" x14ac:dyDescent="0.15">
      <c r="A67" t="s">
        <v>30</v>
      </c>
    </row>
    <row r="68" spans="1:1" x14ac:dyDescent="0.15">
      <c r="A68" t="s">
        <v>29</v>
      </c>
    </row>
    <row r="69" spans="1:1" x14ac:dyDescent="0.15">
      <c r="A69" s="1" t="s">
        <v>28</v>
      </c>
    </row>
    <row r="70" spans="1:1" x14ac:dyDescent="0.15">
      <c r="A70" t="s">
        <v>27</v>
      </c>
    </row>
    <row r="71" spans="1:1" x14ac:dyDescent="0.15">
      <c r="A71" t="s">
        <v>26</v>
      </c>
    </row>
    <row r="72" spans="1:1" x14ac:dyDescent="0.15">
      <c r="A72" t="s">
        <v>25</v>
      </c>
    </row>
    <row r="73" spans="1:1" x14ac:dyDescent="0.15">
      <c r="A73" t="s">
        <v>24</v>
      </c>
    </row>
    <row r="74" spans="1:1" x14ac:dyDescent="0.15">
      <c r="A74" t="s">
        <v>23</v>
      </c>
    </row>
    <row r="75" spans="1:1" x14ac:dyDescent="0.15">
      <c r="A75" t="s">
        <v>22</v>
      </c>
    </row>
    <row r="76" spans="1:1" x14ac:dyDescent="0.15">
      <c r="A76" t="s">
        <v>21</v>
      </c>
    </row>
    <row r="77" spans="1:1" x14ac:dyDescent="0.15">
      <c r="A77" t="s">
        <v>20</v>
      </c>
    </row>
    <row r="78" spans="1:1" x14ac:dyDescent="0.15">
      <c r="A78" t="s">
        <v>19</v>
      </c>
    </row>
    <row r="79" spans="1:1" x14ac:dyDescent="0.15">
      <c r="A79" t="s">
        <v>18</v>
      </c>
    </row>
    <row r="80" spans="1:1" x14ac:dyDescent="0.15">
      <c r="A80" t="s">
        <v>17</v>
      </c>
    </row>
    <row r="81" spans="1:1" x14ac:dyDescent="0.15">
      <c r="A81" t="s">
        <v>16</v>
      </c>
    </row>
    <row r="82" spans="1:1" x14ac:dyDescent="0.15">
      <c r="A82" t="s">
        <v>15</v>
      </c>
    </row>
    <row r="83" spans="1:1" x14ac:dyDescent="0.15">
      <c r="A83" t="s">
        <v>14</v>
      </c>
    </row>
    <row r="84" spans="1:1" x14ac:dyDescent="0.15">
      <c r="A84" s="1" t="s">
        <v>13</v>
      </c>
    </row>
    <row r="85" spans="1:1" x14ac:dyDescent="0.15">
      <c r="A85" t="s">
        <v>12</v>
      </c>
    </row>
    <row r="86" spans="1:1" x14ac:dyDescent="0.15">
      <c r="A86" t="s">
        <v>11</v>
      </c>
    </row>
    <row r="87" spans="1:1" x14ac:dyDescent="0.15">
      <c r="A87" t="s">
        <v>10</v>
      </c>
    </row>
    <row r="88" spans="1:1" x14ac:dyDescent="0.15">
      <c r="A88" t="s">
        <v>9</v>
      </c>
    </row>
    <row r="89" spans="1:1" x14ac:dyDescent="0.15">
      <c r="A89" t="s">
        <v>8</v>
      </c>
    </row>
    <row r="90" spans="1:1" x14ac:dyDescent="0.15">
      <c r="A90" t="s">
        <v>7</v>
      </c>
    </row>
    <row r="91" spans="1:1" x14ac:dyDescent="0.15">
      <c r="A91" t="s">
        <v>6</v>
      </c>
    </row>
    <row r="92" spans="1:1" x14ac:dyDescent="0.15">
      <c r="A92" t="s">
        <v>5</v>
      </c>
    </row>
    <row r="93" spans="1:1" x14ac:dyDescent="0.15">
      <c r="A93" t="s">
        <v>4</v>
      </c>
    </row>
    <row r="94" spans="1:1" x14ac:dyDescent="0.15">
      <c r="A94" t="s">
        <v>3</v>
      </c>
    </row>
    <row r="95" spans="1:1" x14ac:dyDescent="0.15">
      <c r="A95" t="s">
        <v>2</v>
      </c>
    </row>
    <row r="96" spans="1:1" x14ac:dyDescent="0.15">
      <c r="A96" t="s">
        <v>1</v>
      </c>
    </row>
    <row r="97" spans="1:1" x14ac:dyDescent="0.15">
      <c r="A97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topLeftCell="A121" workbookViewId="0">
      <selection activeCell="B9" sqref="B9:C9"/>
    </sheetView>
  </sheetViews>
  <sheetFormatPr defaultRowHeight="13.5" x14ac:dyDescent="0.15"/>
  <cols>
    <col min="1" max="1" width="43.25" customWidth="1"/>
    <col min="2" max="2" width="36.5" customWidth="1"/>
  </cols>
  <sheetData>
    <row r="1" spans="1:9" x14ac:dyDescent="0.15">
      <c r="A1" s="7" t="s">
        <v>152</v>
      </c>
      <c r="B1" s="7" t="s">
        <v>151</v>
      </c>
      <c r="C1" s="7" t="s">
        <v>150</v>
      </c>
      <c r="D1" s="7" t="s">
        <v>149</v>
      </c>
      <c r="E1" s="7" t="s">
        <v>148</v>
      </c>
      <c r="F1" s="7" t="s">
        <v>147</v>
      </c>
      <c r="G1" s="7" t="s">
        <v>146</v>
      </c>
      <c r="H1" s="7" t="s">
        <v>145</v>
      </c>
      <c r="I1" s="7" t="s">
        <v>144</v>
      </c>
    </row>
    <row r="2" spans="1:9" x14ac:dyDescent="0.15">
      <c r="A2">
        <v>2011</v>
      </c>
      <c r="B2">
        <v>0.42649999999999999</v>
      </c>
      <c r="C2">
        <v>8.6999999999999994E-2</v>
      </c>
      <c r="D2">
        <v>2.85</v>
      </c>
      <c r="E2" s="2">
        <f t="shared" ref="E2:E8" si="0">B2/D2</f>
        <v>0.14964912280701753</v>
      </c>
      <c r="F2" s="2">
        <f t="shared" ref="F2:F8" si="1">C2/D2</f>
        <v>3.0526315789473683E-2</v>
      </c>
      <c r="G2">
        <v>5.92</v>
      </c>
      <c r="H2">
        <v>2.85</v>
      </c>
      <c r="I2">
        <f t="shared" ref="I2:I8" si="2">SUM(G2:H2)/2</f>
        <v>4.3849999999999998</v>
      </c>
    </row>
    <row r="3" spans="1:9" x14ac:dyDescent="0.15">
      <c r="A3">
        <v>2012</v>
      </c>
      <c r="B3">
        <v>0.38619999999999999</v>
      </c>
      <c r="C3">
        <v>0.09</v>
      </c>
      <c r="D3">
        <v>2.81</v>
      </c>
      <c r="E3" s="2">
        <f t="shared" si="0"/>
        <v>0.13743772241992883</v>
      </c>
      <c r="F3" s="2">
        <f t="shared" si="1"/>
        <v>3.2028469750889681E-2</v>
      </c>
      <c r="G3">
        <v>4.17</v>
      </c>
      <c r="H3">
        <v>2.3199999999999998</v>
      </c>
      <c r="I3">
        <f t="shared" si="2"/>
        <v>3.2450000000000001</v>
      </c>
    </row>
    <row r="4" spans="1:9" x14ac:dyDescent="0.15">
      <c r="A4">
        <v>2013</v>
      </c>
      <c r="B4">
        <v>0.33040000000000003</v>
      </c>
      <c r="C4">
        <v>0.08</v>
      </c>
      <c r="D4">
        <v>2.41</v>
      </c>
      <c r="E4" s="2">
        <f t="shared" si="0"/>
        <v>0.1370954356846473</v>
      </c>
      <c r="F4" s="2">
        <f t="shared" si="1"/>
        <v>3.3195020746887967E-2</v>
      </c>
      <c r="G4">
        <v>4.92</v>
      </c>
      <c r="H4">
        <v>2.2400000000000002</v>
      </c>
      <c r="I4">
        <f t="shared" si="2"/>
        <v>3.58</v>
      </c>
    </row>
    <row r="5" spans="1:9" x14ac:dyDescent="0.15">
      <c r="A5">
        <v>2014</v>
      </c>
      <c r="B5">
        <v>0.31690000000000002</v>
      </c>
      <c r="C5">
        <v>0.08</v>
      </c>
      <c r="D5">
        <v>5.05</v>
      </c>
      <c r="E5" s="2">
        <f t="shared" si="0"/>
        <v>6.2752475247524753E-2</v>
      </c>
      <c r="F5" s="2">
        <f t="shared" si="1"/>
        <v>1.5841584158415842E-2</v>
      </c>
      <c r="G5">
        <v>5.5</v>
      </c>
      <c r="H5">
        <v>2.21</v>
      </c>
      <c r="I5">
        <f t="shared" si="2"/>
        <v>3.855</v>
      </c>
    </row>
    <row r="6" spans="1:9" x14ac:dyDescent="0.15">
      <c r="A6">
        <v>2015</v>
      </c>
      <c r="B6">
        <v>0.3256</v>
      </c>
      <c r="C6">
        <v>0.08</v>
      </c>
      <c r="D6">
        <v>5.68</v>
      </c>
      <c r="E6" s="2">
        <f t="shared" si="0"/>
        <v>5.7323943661971834E-2</v>
      </c>
      <c r="F6" s="2">
        <f t="shared" si="1"/>
        <v>1.4084507042253521E-2</v>
      </c>
      <c r="G6">
        <v>9.56</v>
      </c>
      <c r="H6">
        <v>3.67</v>
      </c>
      <c r="I6">
        <f t="shared" si="2"/>
        <v>6.6150000000000002</v>
      </c>
    </row>
    <row r="7" spans="1:9" x14ac:dyDescent="0.15">
      <c r="A7">
        <v>2016</v>
      </c>
      <c r="B7">
        <v>0.34239999999999998</v>
      </c>
      <c r="C7">
        <v>0.08</v>
      </c>
      <c r="D7">
        <v>4.8499999999999996</v>
      </c>
      <c r="E7" s="2">
        <f t="shared" si="0"/>
        <v>7.0597938144329894E-2</v>
      </c>
      <c r="F7" s="2">
        <f t="shared" si="1"/>
        <v>1.6494845360824743E-2</v>
      </c>
      <c r="G7">
        <v>5.66</v>
      </c>
      <c r="H7">
        <v>3.47</v>
      </c>
      <c r="I7">
        <f t="shared" si="2"/>
        <v>4.5650000000000004</v>
      </c>
    </row>
    <row r="8" spans="1:9" x14ac:dyDescent="0.15">
      <c r="A8">
        <v>2017</v>
      </c>
      <c r="B8">
        <v>0.29049999999999998</v>
      </c>
      <c r="C8">
        <v>0.11</v>
      </c>
      <c r="D8">
        <v>4.0199999999999996</v>
      </c>
      <c r="E8" s="2">
        <f t="shared" si="0"/>
        <v>7.2263681592039802E-2</v>
      </c>
      <c r="F8" s="2">
        <f t="shared" si="1"/>
        <v>2.7363184079601994E-2</v>
      </c>
      <c r="G8">
        <v>5.44</v>
      </c>
      <c r="H8">
        <v>3.94</v>
      </c>
      <c r="I8">
        <f t="shared" si="2"/>
        <v>4.6900000000000004</v>
      </c>
    </row>
    <row r="9" spans="1:9" x14ac:dyDescent="0.15">
      <c r="B9" t="s">
        <v>143</v>
      </c>
      <c r="C9" t="s">
        <v>142</v>
      </c>
    </row>
    <row r="10" spans="1:9" x14ac:dyDescent="0.15">
      <c r="A10" s="1" t="s">
        <v>141</v>
      </c>
      <c r="B10">
        <v>3.4</v>
      </c>
      <c r="C10">
        <v>3.9</v>
      </c>
    </row>
    <row r="11" spans="1:9" x14ac:dyDescent="0.15">
      <c r="A11" s="1" t="s">
        <v>140</v>
      </c>
    </row>
    <row r="12" spans="1:9" x14ac:dyDescent="0.15">
      <c r="A12" t="s">
        <v>139</v>
      </c>
      <c r="B12">
        <f>10+6+3+12</f>
        <v>31</v>
      </c>
      <c r="C12">
        <v>20</v>
      </c>
    </row>
    <row r="13" spans="1:9" x14ac:dyDescent="0.15">
      <c r="A13" t="s">
        <v>138</v>
      </c>
      <c r="B13">
        <v>0</v>
      </c>
      <c r="C13">
        <v>0</v>
      </c>
    </row>
    <row r="14" spans="1:9" x14ac:dyDescent="0.15">
      <c r="A14" t="s">
        <v>137</v>
      </c>
      <c r="B14">
        <v>103.97</v>
      </c>
      <c r="C14">
        <v>189.08</v>
      </c>
    </row>
    <row r="15" spans="1:9" x14ac:dyDescent="0.15">
      <c r="A15" t="s">
        <v>136</v>
      </c>
      <c r="B15">
        <f>SUM(B12:B14)</f>
        <v>134.97</v>
      </c>
      <c r="C15">
        <f>SUM(C12:C14)</f>
        <v>209.08</v>
      </c>
    </row>
    <row r="16" spans="1:9" x14ac:dyDescent="0.15">
      <c r="A16" t="s">
        <v>135</v>
      </c>
      <c r="B16" s="2">
        <f>B12/B15</f>
        <v>0.22968066977846929</v>
      </c>
      <c r="C16" s="2">
        <f>C12/C15</f>
        <v>9.5657164721637641E-2</v>
      </c>
    </row>
    <row r="17" spans="1:3" x14ac:dyDescent="0.15">
      <c r="A17" t="s">
        <v>134</v>
      </c>
      <c r="B17">
        <v>0</v>
      </c>
      <c r="C17">
        <v>0</v>
      </c>
    </row>
    <row r="18" spans="1:3" x14ac:dyDescent="0.15">
      <c r="A18" t="s">
        <v>133</v>
      </c>
      <c r="B18" s="2">
        <f>B14/B15</f>
        <v>0.77031933022153076</v>
      </c>
      <c r="C18" s="2">
        <f>C14/C15</f>
        <v>0.90434283527836234</v>
      </c>
    </row>
    <row r="19" spans="1:3" x14ac:dyDescent="0.15">
      <c r="A19" s="1" t="s">
        <v>132</v>
      </c>
    </row>
    <row r="20" spans="1:3" x14ac:dyDescent="0.15">
      <c r="A20" t="s">
        <v>131</v>
      </c>
      <c r="B20">
        <v>79.84</v>
      </c>
      <c r="C20">
        <v>73.795299999999997</v>
      </c>
    </row>
    <row r="21" spans="1:3" x14ac:dyDescent="0.15">
      <c r="A21" t="s">
        <v>130</v>
      </c>
      <c r="B21">
        <v>8.1999999999999993</v>
      </c>
      <c r="C21">
        <f>(23815875+959592100+292546578)/100000000</f>
        <v>12.75954553</v>
      </c>
    </row>
    <row r="22" spans="1:3" x14ac:dyDescent="0.15">
      <c r="A22" t="s">
        <v>129</v>
      </c>
      <c r="B22">
        <v>12.983000000000001</v>
      </c>
      <c r="C22">
        <f>40-14.5*0.75+5</f>
        <v>34.125</v>
      </c>
    </row>
    <row r="23" spans="1:3" x14ac:dyDescent="0.15">
      <c r="A23" t="s">
        <v>128</v>
      </c>
      <c r="B23">
        <v>0.54969999999999997</v>
      </c>
      <c r="C23">
        <v>0.89</v>
      </c>
    </row>
    <row r="24" spans="1:3" x14ac:dyDescent="0.15">
      <c r="A24" t="s">
        <v>127</v>
      </c>
    </row>
    <row r="25" spans="1:3" x14ac:dyDescent="0.15">
      <c r="A25" t="s">
        <v>126</v>
      </c>
      <c r="B25">
        <v>9.6892999999999994</v>
      </c>
      <c r="C25">
        <f>28.7-14.5*0.75+5</f>
        <v>22.824999999999999</v>
      </c>
    </row>
    <row r="26" spans="1:3" x14ac:dyDescent="0.15">
      <c r="A26" t="s">
        <v>125</v>
      </c>
      <c r="B26" s="2">
        <f>B22/B20</f>
        <v>0.1626127254509018</v>
      </c>
      <c r="C26" s="2">
        <f>C22/C20</f>
        <v>0.46242782399421101</v>
      </c>
    </row>
    <row r="27" spans="1:3" x14ac:dyDescent="0.15">
      <c r="A27" s="5" t="s">
        <v>124</v>
      </c>
      <c r="B27" s="2">
        <f>B22/B15</f>
        <v>9.6191746313995713E-2</v>
      </c>
      <c r="C27" s="2">
        <f>C22/C15</f>
        <v>0.16321503730629422</v>
      </c>
    </row>
    <row r="28" spans="1:3" x14ac:dyDescent="0.15">
      <c r="A28" s="1" t="s">
        <v>123</v>
      </c>
    </row>
    <row r="29" spans="1:3" x14ac:dyDescent="0.15">
      <c r="A29" t="s">
        <v>122</v>
      </c>
      <c r="B29">
        <f>B25/B23</f>
        <v>17.62652355830453</v>
      </c>
      <c r="C29">
        <f>C25/C23</f>
        <v>25.646067415730336</v>
      </c>
    </row>
    <row r="30" spans="1:3" x14ac:dyDescent="0.15">
      <c r="A30" t="s">
        <v>121</v>
      </c>
    </row>
    <row r="31" spans="1:3" x14ac:dyDescent="0.15">
      <c r="A31" t="s">
        <v>120</v>
      </c>
      <c r="B31">
        <v>0.29049999999999998</v>
      </c>
      <c r="C31">
        <f>C25/48.1</f>
        <v>0.47453222453222449</v>
      </c>
    </row>
    <row r="32" spans="1:3" x14ac:dyDescent="0.15">
      <c r="A32" s="4" t="s">
        <v>119</v>
      </c>
      <c r="B32" s="2">
        <f>B31/B10</f>
        <v>8.5441176470588229E-2</v>
      </c>
      <c r="C32" s="2">
        <f>C31/C10</f>
        <v>0.12167492936723705</v>
      </c>
    </row>
    <row r="33" spans="1:3" x14ac:dyDescent="0.15">
      <c r="A33" t="s">
        <v>118</v>
      </c>
    </row>
    <row r="34" spans="1:3" x14ac:dyDescent="0.15">
      <c r="A34" t="s">
        <v>117</v>
      </c>
    </row>
    <row r="35" spans="1:3" x14ac:dyDescent="0.15">
      <c r="A35" s="3" t="s">
        <v>116</v>
      </c>
      <c r="B35" s="2">
        <f>B20/B14</f>
        <v>0.76791382129460428</v>
      </c>
      <c r="C35" s="2">
        <f>C20/C15</f>
        <v>0.35295245838913331</v>
      </c>
    </row>
    <row r="36" spans="1:3" x14ac:dyDescent="0.15">
      <c r="A36" t="s">
        <v>115</v>
      </c>
    </row>
    <row r="37" spans="1:3" x14ac:dyDescent="0.15">
      <c r="A37" s="1" t="s">
        <v>114</v>
      </c>
    </row>
    <row r="38" spans="1:3" x14ac:dyDescent="0.15">
      <c r="A38" t="s">
        <v>113</v>
      </c>
    </row>
    <row r="39" spans="1:3" x14ac:dyDescent="0.15">
      <c r="A39" t="s">
        <v>112</v>
      </c>
      <c r="B39">
        <f>SUM(B2:B8)/7</f>
        <v>0.34549999999999997</v>
      </c>
      <c r="C39">
        <f>SUM(C43:C49)/7</f>
        <v>0.46468191268191267</v>
      </c>
    </row>
    <row r="40" spans="1:3" x14ac:dyDescent="0.15">
      <c r="A40" t="s">
        <v>111</v>
      </c>
    </row>
    <row r="41" spans="1:3" x14ac:dyDescent="0.15">
      <c r="A41" s="1" t="s">
        <v>110</v>
      </c>
    </row>
    <row r="42" spans="1:3" x14ac:dyDescent="0.15">
      <c r="A42" t="s">
        <v>109</v>
      </c>
    </row>
    <row r="43" spans="1:3" x14ac:dyDescent="0.15">
      <c r="A43" s="1">
        <v>2011</v>
      </c>
      <c r="B43">
        <v>0.42649999999999999</v>
      </c>
      <c r="C43">
        <v>0.41099999999999998</v>
      </c>
    </row>
    <row r="44" spans="1:3" x14ac:dyDescent="0.15">
      <c r="A44" s="1">
        <v>2012</v>
      </c>
      <c r="B44">
        <v>0.38619999999999999</v>
      </c>
      <c r="C44">
        <v>0.41</v>
      </c>
    </row>
    <row r="45" spans="1:3" x14ac:dyDescent="0.15">
      <c r="A45" s="1">
        <v>2013</v>
      </c>
      <c r="B45">
        <v>0.33040000000000003</v>
      </c>
      <c r="C45">
        <f>(22.4-1.36*0.75)/48.1</f>
        <v>0.44449064449064446</v>
      </c>
    </row>
    <row r="46" spans="1:3" x14ac:dyDescent="0.15">
      <c r="A46" s="1">
        <v>2014</v>
      </c>
      <c r="B46">
        <v>0.31690000000000002</v>
      </c>
      <c r="C46">
        <f>(24.38-3.07*0.75)/48.1</f>
        <v>0.458991683991684</v>
      </c>
    </row>
    <row r="47" spans="1:3" x14ac:dyDescent="0.15">
      <c r="A47" s="1">
        <v>2015</v>
      </c>
      <c r="B47">
        <v>0.3256</v>
      </c>
      <c r="C47">
        <v>0.56999999999999995</v>
      </c>
    </row>
    <row r="48" spans="1:3" x14ac:dyDescent="0.15">
      <c r="A48" s="1">
        <v>2016</v>
      </c>
      <c r="B48">
        <v>0.34239999999999998</v>
      </c>
      <c r="C48">
        <f>(29.1-7.88*0.74)/48.1</f>
        <v>0.48375883575883577</v>
      </c>
    </row>
    <row r="49" spans="1:3" x14ac:dyDescent="0.15">
      <c r="A49" s="1">
        <v>2017</v>
      </c>
      <c r="B49">
        <v>0.29049999999999998</v>
      </c>
      <c r="C49">
        <f>C31</f>
        <v>0.47453222453222449</v>
      </c>
    </row>
    <row r="50" spans="1:3" x14ac:dyDescent="0.15">
      <c r="A50" s="1" t="s">
        <v>108</v>
      </c>
    </row>
    <row r="51" spans="1:3" x14ac:dyDescent="0.15">
      <c r="A51" t="s">
        <v>107</v>
      </c>
    </row>
    <row r="52" spans="1:3" x14ac:dyDescent="0.15">
      <c r="A52" s="1">
        <v>2011</v>
      </c>
      <c r="B52">
        <v>8.6999999999999994E-2</v>
      </c>
      <c r="C52">
        <v>0.104</v>
      </c>
    </row>
    <row r="53" spans="1:3" x14ac:dyDescent="0.15">
      <c r="A53" s="1">
        <v>2012</v>
      </c>
      <c r="B53">
        <v>0.09</v>
      </c>
      <c r="C53">
        <v>0.155</v>
      </c>
    </row>
    <row r="54" spans="1:3" x14ac:dyDescent="0.15">
      <c r="A54" s="1">
        <v>2013</v>
      </c>
      <c r="B54">
        <v>0.08</v>
      </c>
      <c r="C54">
        <v>0.126</v>
      </c>
    </row>
    <row r="55" spans="1:3" x14ac:dyDescent="0.15">
      <c r="A55" s="1">
        <v>2014</v>
      </c>
      <c r="B55">
        <v>0.08</v>
      </c>
      <c r="C55">
        <v>0.151</v>
      </c>
    </row>
    <row r="56" spans="1:3" x14ac:dyDescent="0.15">
      <c r="A56" s="1">
        <v>2015</v>
      </c>
      <c r="B56">
        <v>0.08</v>
      </c>
      <c r="C56">
        <v>0.19400000000000001</v>
      </c>
    </row>
    <row r="57" spans="1:3" x14ac:dyDescent="0.15">
      <c r="A57" s="1">
        <v>2016</v>
      </c>
      <c r="B57">
        <v>0.08</v>
      </c>
      <c r="C57">
        <v>0.17899999999999999</v>
      </c>
    </row>
    <row r="58" spans="1:3" x14ac:dyDescent="0.15">
      <c r="A58" s="1">
        <v>2017</v>
      </c>
      <c r="B58">
        <v>0.11</v>
      </c>
      <c r="C58">
        <v>0.19600000000000001</v>
      </c>
    </row>
    <row r="59" spans="1:3" x14ac:dyDescent="0.15">
      <c r="A59" t="s">
        <v>106</v>
      </c>
    </row>
    <row r="60" spans="1:3" x14ac:dyDescent="0.15">
      <c r="A60" s="1">
        <v>2011</v>
      </c>
      <c r="B60" s="2">
        <v>3.0526315789473683E-2</v>
      </c>
    </row>
    <row r="61" spans="1:3" x14ac:dyDescent="0.15">
      <c r="A61" s="1">
        <v>2012</v>
      </c>
      <c r="B61" s="2">
        <v>3.2028469750889681E-2</v>
      </c>
    </row>
    <row r="62" spans="1:3" x14ac:dyDescent="0.15">
      <c r="A62" s="1">
        <v>2013</v>
      </c>
      <c r="B62" s="2">
        <v>3.3195020746887967E-2</v>
      </c>
    </row>
    <row r="63" spans="1:3" x14ac:dyDescent="0.15">
      <c r="A63" s="1">
        <v>2014</v>
      </c>
      <c r="B63" s="2">
        <v>1.5841584158415842E-2</v>
      </c>
    </row>
    <row r="64" spans="1:3" x14ac:dyDescent="0.15">
      <c r="A64" s="1">
        <v>2015</v>
      </c>
      <c r="B64" s="2">
        <v>1.4084507042253521E-2</v>
      </c>
    </row>
    <row r="65" spans="1:3" x14ac:dyDescent="0.15">
      <c r="A65" s="1">
        <v>2016</v>
      </c>
      <c r="B65" s="2">
        <v>1.6494845360824743E-2</v>
      </c>
    </row>
    <row r="66" spans="1:3" x14ac:dyDescent="0.15">
      <c r="A66" s="1">
        <v>2017</v>
      </c>
      <c r="B66" s="2">
        <v>2.7363184079601994E-2</v>
      </c>
    </row>
    <row r="67" spans="1:3" x14ac:dyDescent="0.15">
      <c r="A67" t="s">
        <v>105</v>
      </c>
    </row>
    <row r="68" spans="1:3" x14ac:dyDescent="0.15">
      <c r="A68" t="s">
        <v>104</v>
      </c>
    </row>
    <row r="69" spans="1:3" x14ac:dyDescent="0.15">
      <c r="A69" s="1" t="s">
        <v>103</v>
      </c>
    </row>
    <row r="70" spans="1:3" x14ac:dyDescent="0.15">
      <c r="A70" t="s">
        <v>102</v>
      </c>
      <c r="B70">
        <v>34</v>
      </c>
      <c r="C70">
        <v>29</v>
      </c>
    </row>
    <row r="71" spans="1:3" x14ac:dyDescent="0.15">
      <c r="A71" t="s">
        <v>101</v>
      </c>
      <c r="B71">
        <v>1.92</v>
      </c>
      <c r="C71">
        <v>0.185</v>
      </c>
    </row>
    <row r="72" spans="1:3" x14ac:dyDescent="0.15">
      <c r="A72" t="s">
        <v>100</v>
      </c>
      <c r="B72">
        <v>17.86</v>
      </c>
      <c r="C72">
        <v>32.94</v>
      </c>
    </row>
    <row r="73" spans="1:3" x14ac:dyDescent="0.15">
      <c r="A73" t="s">
        <v>99</v>
      </c>
      <c r="B73">
        <v>66.22</v>
      </c>
      <c r="C73">
        <v>101</v>
      </c>
    </row>
    <row r="74" spans="1:3" x14ac:dyDescent="0.15">
      <c r="A74" t="s">
        <v>98</v>
      </c>
      <c r="B74">
        <v>41.17</v>
      </c>
      <c r="C74">
        <v>58.8</v>
      </c>
    </row>
    <row r="75" spans="1:3" x14ac:dyDescent="0.15">
      <c r="A75" t="s">
        <v>97</v>
      </c>
      <c r="B75">
        <v>23.25</v>
      </c>
      <c r="C75">
        <v>1.4592000000000001</v>
      </c>
    </row>
    <row r="76" spans="1:3" x14ac:dyDescent="0.15">
      <c r="A76" t="s">
        <v>96</v>
      </c>
      <c r="B76">
        <f>B73-B72</f>
        <v>48.36</v>
      </c>
      <c r="C76">
        <f>C73-C72</f>
        <v>68.06</v>
      </c>
    </row>
    <row r="77" spans="1:3" x14ac:dyDescent="0.15">
      <c r="A77" t="s">
        <v>95</v>
      </c>
      <c r="B77">
        <f>B73/B74</f>
        <v>1.6084527568617926</v>
      </c>
      <c r="C77">
        <f>C73/C74</f>
        <v>1.717687074829932</v>
      </c>
    </row>
    <row r="78" spans="1:3" x14ac:dyDescent="0.15">
      <c r="A78" t="s">
        <v>94</v>
      </c>
      <c r="B78">
        <f>B72/B20</f>
        <v>0.22369739478957915</v>
      </c>
      <c r="C78">
        <f>C72/C20</f>
        <v>0.44636989076540101</v>
      </c>
    </row>
    <row r="79" spans="1:3" x14ac:dyDescent="0.15">
      <c r="A79" t="s">
        <v>93</v>
      </c>
      <c r="B79">
        <f>B71/B20</f>
        <v>2.4048096192384769E-2</v>
      </c>
      <c r="C79">
        <f>C71/C20</f>
        <v>2.5069347234851001E-3</v>
      </c>
    </row>
    <row r="80" spans="1:3" x14ac:dyDescent="0.15">
      <c r="A80" t="s">
        <v>92</v>
      </c>
      <c r="B80">
        <v>147.44999999999999</v>
      </c>
      <c r="C80">
        <v>270.60000000000002</v>
      </c>
    </row>
    <row r="81" spans="1:3" x14ac:dyDescent="0.15">
      <c r="A81" t="s">
        <v>91</v>
      </c>
      <c r="B81">
        <f>(B70-201.2)/30.58</f>
        <v>-5.4676258992805753</v>
      </c>
      <c r="C81">
        <f>(C70-237.6)/48.1</f>
        <v>-4.3367983367983367</v>
      </c>
    </row>
    <row r="82" spans="1:3" x14ac:dyDescent="0.15">
      <c r="A82" t="s">
        <v>90</v>
      </c>
      <c r="B82">
        <f>(B76-201.2)/30.58</f>
        <v>-4.9980379332897309</v>
      </c>
      <c r="C82">
        <f>(C76-237.6)/48.1</f>
        <v>-3.5247401247401244</v>
      </c>
    </row>
    <row r="83" spans="1:3" x14ac:dyDescent="0.15">
      <c r="A83" t="s">
        <v>89</v>
      </c>
      <c r="B83">
        <f>B80/30.5806</f>
        <v>4.8216843358207484</v>
      </c>
      <c r="C83">
        <f>C80/48.1</f>
        <v>5.625779625779626</v>
      </c>
    </row>
    <row r="84" spans="1:3" x14ac:dyDescent="0.15">
      <c r="A84" s="1" t="s">
        <v>88</v>
      </c>
    </row>
    <row r="85" spans="1:3" x14ac:dyDescent="0.15">
      <c r="A85" t="s">
        <v>87</v>
      </c>
    </row>
    <row r="86" spans="1:3" x14ac:dyDescent="0.15">
      <c r="A86" t="s">
        <v>86</v>
      </c>
    </row>
    <row r="87" spans="1:3" x14ac:dyDescent="0.15">
      <c r="A87" t="s">
        <v>85</v>
      </c>
    </row>
    <row r="88" spans="1:3" x14ac:dyDescent="0.15">
      <c r="A88" t="s">
        <v>84</v>
      </c>
    </row>
    <row r="89" spans="1:3" x14ac:dyDescent="0.15">
      <c r="A89" t="s">
        <v>83</v>
      </c>
    </row>
    <row r="90" spans="1:3" x14ac:dyDescent="0.15">
      <c r="A90" t="s">
        <v>82</v>
      </c>
    </row>
    <row r="91" spans="1:3" x14ac:dyDescent="0.15">
      <c r="A91" t="s">
        <v>81</v>
      </c>
    </row>
    <row r="92" spans="1:3" x14ac:dyDescent="0.15">
      <c r="A92" t="s">
        <v>80</v>
      </c>
    </row>
    <row r="93" spans="1:3" x14ac:dyDescent="0.15">
      <c r="A93" t="s">
        <v>79</v>
      </c>
    </row>
    <row r="94" spans="1:3" x14ac:dyDescent="0.15">
      <c r="A94" t="s">
        <v>78</v>
      </c>
    </row>
    <row r="95" spans="1:3" x14ac:dyDescent="0.15">
      <c r="A95" t="s">
        <v>77</v>
      </c>
    </row>
    <row r="96" spans="1:3" x14ac:dyDescent="0.15">
      <c r="A96" t="s">
        <v>76</v>
      </c>
    </row>
    <row r="97" spans="1:1" x14ac:dyDescent="0.15">
      <c r="A97" t="s">
        <v>75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topLeftCell="A64" workbookViewId="0">
      <selection activeCell="A69" sqref="A69:A83"/>
    </sheetView>
  </sheetViews>
  <sheetFormatPr defaultRowHeight="13.5" x14ac:dyDescent="0.15"/>
  <cols>
    <col min="1" max="1" width="40" customWidth="1"/>
    <col min="5" max="5" width="27" customWidth="1"/>
    <col min="6" max="6" width="24.25" customWidth="1"/>
  </cols>
  <sheetData>
    <row r="1" spans="1:9" x14ac:dyDescent="0.15">
      <c r="A1" s="7" t="s">
        <v>74</v>
      </c>
      <c r="B1" s="7" t="s">
        <v>73</v>
      </c>
      <c r="C1" s="7" t="s">
        <v>72</v>
      </c>
      <c r="D1" s="7" t="s">
        <v>71</v>
      </c>
      <c r="E1" s="7" t="s">
        <v>70</v>
      </c>
      <c r="F1" s="7" t="s">
        <v>69</v>
      </c>
      <c r="G1" s="7" t="s">
        <v>68</v>
      </c>
      <c r="H1" s="7" t="s">
        <v>67</v>
      </c>
    </row>
    <row r="2" spans="1:9" x14ac:dyDescent="0.15">
      <c r="A2">
        <v>2011</v>
      </c>
      <c r="B2">
        <v>0.39700000000000002</v>
      </c>
      <c r="C2">
        <v>0.1</v>
      </c>
      <c r="D2">
        <v>4.99</v>
      </c>
      <c r="E2" s="2">
        <f t="shared" ref="E2:E8" si="0">B2/D2</f>
        <v>7.955911823647295E-2</v>
      </c>
      <c r="F2" s="2">
        <f t="shared" ref="F2:F8" si="1">C2/D2</f>
        <v>2.004008016032064E-2</v>
      </c>
      <c r="G2">
        <v>6.96</v>
      </c>
      <c r="H2">
        <v>2.88</v>
      </c>
      <c r="I2">
        <f t="shared" ref="I2:I8" si="2">SUM(G2:H2)/2</f>
        <v>4.92</v>
      </c>
    </row>
    <row r="3" spans="1:9" x14ac:dyDescent="0.15">
      <c r="A3">
        <v>2012</v>
      </c>
      <c r="B3">
        <v>0.23300000000000001</v>
      </c>
      <c r="C3">
        <v>0.08</v>
      </c>
      <c r="D3">
        <v>3.03</v>
      </c>
      <c r="E3" s="2">
        <f t="shared" si="0"/>
        <v>7.6897689768976901E-2</v>
      </c>
      <c r="F3" s="2">
        <f t="shared" si="1"/>
        <v>2.6402640264026406E-2</v>
      </c>
      <c r="G3">
        <v>5.58</v>
      </c>
      <c r="H3">
        <v>2.39</v>
      </c>
      <c r="I3">
        <f t="shared" si="2"/>
        <v>3.9850000000000003</v>
      </c>
    </row>
    <row r="4" spans="1:9" x14ac:dyDescent="0.15">
      <c r="A4">
        <v>2013</v>
      </c>
      <c r="B4">
        <v>0.35799999999999998</v>
      </c>
      <c r="C4">
        <v>0.08</v>
      </c>
      <c r="D4">
        <v>3.42</v>
      </c>
      <c r="E4" s="2">
        <f t="shared" si="0"/>
        <v>0.10467836257309941</v>
      </c>
      <c r="F4" s="2">
        <f t="shared" si="1"/>
        <v>2.3391812865497078E-2</v>
      </c>
      <c r="G4">
        <v>6.25</v>
      </c>
      <c r="H4">
        <v>2.27</v>
      </c>
      <c r="I4">
        <f t="shared" si="2"/>
        <v>4.26</v>
      </c>
    </row>
    <row r="5" spans="1:9" x14ac:dyDescent="0.15">
      <c r="A5">
        <v>2014</v>
      </c>
      <c r="B5">
        <v>0.28199999999999997</v>
      </c>
      <c r="C5">
        <v>0.12</v>
      </c>
      <c r="D5">
        <v>5.0999999999999996</v>
      </c>
      <c r="E5" s="2">
        <f t="shared" si="0"/>
        <v>5.529411764705882E-2</v>
      </c>
      <c r="F5" s="2">
        <f t="shared" si="1"/>
        <v>2.3529411764705882E-2</v>
      </c>
      <c r="G5">
        <v>6.75</v>
      </c>
      <c r="H5">
        <v>2.85</v>
      </c>
      <c r="I5">
        <f t="shared" si="2"/>
        <v>4.8</v>
      </c>
    </row>
    <row r="6" spans="1:9" x14ac:dyDescent="0.15">
      <c r="A6">
        <v>2015</v>
      </c>
      <c r="B6">
        <v>0.34</v>
      </c>
      <c r="C6">
        <v>0.1</v>
      </c>
      <c r="D6">
        <v>7.43</v>
      </c>
      <c r="E6" s="2">
        <f t="shared" si="0"/>
        <v>4.5760430686406464E-2</v>
      </c>
      <c r="F6" s="2">
        <f t="shared" si="1"/>
        <v>1.3458950201884255E-2</v>
      </c>
      <c r="G6">
        <v>15.91</v>
      </c>
      <c r="H6">
        <v>4.87</v>
      </c>
      <c r="I6">
        <f t="shared" si="2"/>
        <v>10.39</v>
      </c>
    </row>
    <row r="7" spans="1:9" x14ac:dyDescent="0.15">
      <c r="A7">
        <v>2016</v>
      </c>
      <c r="B7">
        <v>0.38</v>
      </c>
      <c r="C7">
        <v>0</v>
      </c>
      <c r="D7">
        <v>6.88</v>
      </c>
      <c r="E7" s="2">
        <f t="shared" si="0"/>
        <v>5.5232558139534885E-2</v>
      </c>
      <c r="F7" s="2">
        <f t="shared" si="1"/>
        <v>0</v>
      </c>
      <c r="G7">
        <v>7.62</v>
      </c>
      <c r="H7">
        <v>4.87</v>
      </c>
      <c r="I7">
        <f t="shared" si="2"/>
        <v>6.2450000000000001</v>
      </c>
    </row>
    <row r="8" spans="1:9" x14ac:dyDescent="0.15">
      <c r="A8">
        <v>2017</v>
      </c>
      <c r="B8">
        <v>0.46</v>
      </c>
      <c r="C8">
        <v>0.2</v>
      </c>
      <c r="D8">
        <v>5.63</v>
      </c>
      <c r="E8" s="2">
        <f t="shared" si="0"/>
        <v>8.1705150976909419E-2</v>
      </c>
      <c r="F8" s="2">
        <f t="shared" si="1"/>
        <v>3.5523978685612793E-2</v>
      </c>
      <c r="G8">
        <v>7.57</v>
      </c>
      <c r="H8">
        <v>5.56</v>
      </c>
      <c r="I8">
        <f t="shared" si="2"/>
        <v>6.5649999999999995</v>
      </c>
    </row>
    <row r="10" spans="1:9" x14ac:dyDescent="0.15">
      <c r="A10" s="1" t="s">
        <v>66</v>
      </c>
      <c r="B10">
        <v>4.8</v>
      </c>
    </row>
    <row r="11" spans="1:9" x14ac:dyDescent="0.15">
      <c r="A11" s="1" t="s">
        <v>65</v>
      </c>
    </row>
    <row r="12" spans="1:9" x14ac:dyDescent="0.15">
      <c r="A12" t="s">
        <v>64</v>
      </c>
      <c r="B12">
        <v>0</v>
      </c>
    </row>
    <row r="13" spans="1:9" x14ac:dyDescent="0.15">
      <c r="A13" t="s">
        <v>63</v>
      </c>
      <c r="B13">
        <v>0</v>
      </c>
    </row>
    <row r="14" spans="1:9" x14ac:dyDescent="0.15">
      <c r="A14" t="s">
        <v>62</v>
      </c>
      <c r="B14">
        <v>35.39</v>
      </c>
    </row>
    <row r="15" spans="1:9" x14ac:dyDescent="0.15">
      <c r="A15" t="s">
        <v>61</v>
      </c>
      <c r="B15">
        <v>35.39</v>
      </c>
    </row>
    <row r="16" spans="1:9" x14ac:dyDescent="0.15">
      <c r="A16" t="s">
        <v>60</v>
      </c>
    </row>
    <row r="17" spans="1:4" x14ac:dyDescent="0.15">
      <c r="A17" t="s">
        <v>59</v>
      </c>
    </row>
    <row r="18" spans="1:4" x14ac:dyDescent="0.15">
      <c r="A18" t="s">
        <v>58</v>
      </c>
      <c r="B18" s="6">
        <v>1</v>
      </c>
      <c r="D18" s="6"/>
    </row>
    <row r="19" spans="1:4" x14ac:dyDescent="0.15">
      <c r="A19" s="1" t="s">
        <v>57</v>
      </c>
    </row>
    <row r="20" spans="1:4" x14ac:dyDescent="0.15">
      <c r="A20" t="s">
        <v>56</v>
      </c>
      <c r="B20">
        <v>91.67</v>
      </c>
    </row>
    <row r="21" spans="1:4" x14ac:dyDescent="0.15">
      <c r="A21" t="s">
        <v>55</v>
      </c>
      <c r="B21">
        <f>0.1793+0.9</f>
        <v>1.0792999999999999</v>
      </c>
    </row>
    <row r="22" spans="1:4" x14ac:dyDescent="0.15">
      <c r="A22" t="s">
        <v>54</v>
      </c>
      <c r="B22">
        <v>3.5158999999999998</v>
      </c>
    </row>
    <row r="23" spans="1:4" x14ac:dyDescent="0.15">
      <c r="A23" t="s">
        <v>53</v>
      </c>
    </row>
    <row r="24" spans="1:4" x14ac:dyDescent="0.15">
      <c r="A24" t="s">
        <v>52</v>
      </c>
    </row>
    <row r="25" spans="1:4" x14ac:dyDescent="0.15">
      <c r="A25" t="s">
        <v>51</v>
      </c>
      <c r="B25">
        <v>2.7092999999999998</v>
      </c>
    </row>
    <row r="26" spans="1:4" x14ac:dyDescent="0.15">
      <c r="A26" t="s">
        <v>50</v>
      </c>
      <c r="B26" s="2">
        <f>B22/B20</f>
        <v>3.8353878040798511E-2</v>
      </c>
      <c r="D26" s="2"/>
    </row>
    <row r="27" spans="1:4" x14ac:dyDescent="0.15">
      <c r="A27" s="5" t="s">
        <v>49</v>
      </c>
      <c r="B27" s="2">
        <f>B22/B15</f>
        <v>9.934727324102853E-2</v>
      </c>
    </row>
    <row r="28" spans="1:4" x14ac:dyDescent="0.15">
      <c r="A28" s="1" t="s">
        <v>48</v>
      </c>
    </row>
    <row r="29" spans="1:4" x14ac:dyDescent="0.15">
      <c r="A29" t="s">
        <v>47</v>
      </c>
    </row>
    <row r="30" spans="1:4" x14ac:dyDescent="0.15">
      <c r="A30" t="s">
        <v>46</v>
      </c>
    </row>
    <row r="31" spans="1:4" x14ac:dyDescent="0.15">
      <c r="A31" t="s">
        <v>45</v>
      </c>
      <c r="B31">
        <v>0.46100000000000002</v>
      </c>
    </row>
    <row r="32" spans="1:4" x14ac:dyDescent="0.15">
      <c r="A32" s="4" t="s">
        <v>44</v>
      </c>
      <c r="B32" s="2">
        <f>B31/B10</f>
        <v>9.6041666666666678E-2</v>
      </c>
    </row>
    <row r="33" spans="1:2" x14ac:dyDescent="0.15">
      <c r="A33" t="s">
        <v>43</v>
      </c>
    </row>
    <row r="34" spans="1:2" x14ac:dyDescent="0.15">
      <c r="A34" t="s">
        <v>42</v>
      </c>
    </row>
    <row r="35" spans="1:2" x14ac:dyDescent="0.15">
      <c r="A35" s="3" t="s">
        <v>41</v>
      </c>
      <c r="B35">
        <f>B20/B14</f>
        <v>2.5902797400395592</v>
      </c>
    </row>
    <row r="36" spans="1:2" x14ac:dyDescent="0.15">
      <c r="A36" t="s">
        <v>40</v>
      </c>
    </row>
    <row r="37" spans="1:2" x14ac:dyDescent="0.15">
      <c r="A37" s="1" t="s">
        <v>39</v>
      </c>
    </row>
    <row r="38" spans="1:2" x14ac:dyDescent="0.15">
      <c r="A38" t="s">
        <v>38</v>
      </c>
    </row>
    <row r="39" spans="1:2" x14ac:dyDescent="0.15">
      <c r="A39" t="s">
        <v>37</v>
      </c>
      <c r="B39">
        <f>SUM(B43:B49)/7</f>
        <v>0.35000000000000003</v>
      </c>
    </row>
    <row r="40" spans="1:2" x14ac:dyDescent="0.15">
      <c r="A40" t="s">
        <v>36</v>
      </c>
    </row>
    <row r="41" spans="1:2" x14ac:dyDescent="0.15">
      <c r="A41" s="1" t="s">
        <v>35</v>
      </c>
    </row>
    <row r="42" spans="1:2" x14ac:dyDescent="0.15">
      <c r="A42" t="s">
        <v>34</v>
      </c>
    </row>
    <row r="43" spans="1:2" x14ac:dyDescent="0.15">
      <c r="A43" s="1">
        <v>2011</v>
      </c>
      <c r="B43">
        <v>0.39700000000000002</v>
      </c>
    </row>
    <row r="44" spans="1:2" x14ac:dyDescent="0.15">
      <c r="A44" s="1">
        <v>2012</v>
      </c>
      <c r="B44">
        <v>0.23300000000000001</v>
      </c>
    </row>
    <row r="45" spans="1:2" x14ac:dyDescent="0.15">
      <c r="A45" s="1">
        <v>2013</v>
      </c>
      <c r="B45">
        <v>0.35799999999999998</v>
      </c>
    </row>
    <row r="46" spans="1:2" x14ac:dyDescent="0.15">
      <c r="A46" s="1">
        <v>2014</v>
      </c>
      <c r="B46">
        <v>0.28199999999999997</v>
      </c>
    </row>
    <row r="47" spans="1:2" x14ac:dyDescent="0.15">
      <c r="A47" s="1">
        <v>2015</v>
      </c>
      <c r="B47">
        <v>0.34</v>
      </c>
    </row>
    <row r="48" spans="1:2" x14ac:dyDescent="0.15">
      <c r="A48" s="1">
        <v>2016</v>
      </c>
      <c r="B48">
        <v>0.38</v>
      </c>
    </row>
    <row r="49" spans="1:2" x14ac:dyDescent="0.15">
      <c r="A49" s="1">
        <v>2017</v>
      </c>
      <c r="B49">
        <v>0.46</v>
      </c>
    </row>
    <row r="50" spans="1:2" x14ac:dyDescent="0.15">
      <c r="A50" s="1" t="s">
        <v>33</v>
      </c>
    </row>
    <row r="51" spans="1:2" x14ac:dyDescent="0.15">
      <c r="A51" t="s">
        <v>32</v>
      </c>
    </row>
    <row r="52" spans="1:2" x14ac:dyDescent="0.15">
      <c r="A52" s="1">
        <v>2011</v>
      </c>
      <c r="B52">
        <v>0.1</v>
      </c>
    </row>
    <row r="53" spans="1:2" x14ac:dyDescent="0.15">
      <c r="A53" s="1">
        <v>2012</v>
      </c>
      <c r="B53">
        <v>0.08</v>
      </c>
    </row>
    <row r="54" spans="1:2" x14ac:dyDescent="0.15">
      <c r="A54" s="1">
        <v>2013</v>
      </c>
      <c r="B54">
        <v>0.08</v>
      </c>
    </row>
    <row r="55" spans="1:2" x14ac:dyDescent="0.15">
      <c r="A55" s="1">
        <v>2014</v>
      </c>
      <c r="B55">
        <v>0.12</v>
      </c>
    </row>
    <row r="56" spans="1:2" x14ac:dyDescent="0.15">
      <c r="A56" s="1">
        <v>2015</v>
      </c>
      <c r="B56">
        <v>0.1</v>
      </c>
    </row>
    <row r="57" spans="1:2" x14ac:dyDescent="0.15">
      <c r="A57" s="1">
        <v>2016</v>
      </c>
      <c r="B57">
        <v>0</v>
      </c>
    </row>
    <row r="58" spans="1:2" x14ac:dyDescent="0.15">
      <c r="A58" s="1">
        <v>2017</v>
      </c>
      <c r="B58">
        <v>0.2</v>
      </c>
    </row>
    <row r="59" spans="1:2" x14ac:dyDescent="0.15">
      <c r="A59" t="s">
        <v>31</v>
      </c>
    </row>
    <row r="60" spans="1:2" x14ac:dyDescent="0.15">
      <c r="A60" s="1">
        <v>2011</v>
      </c>
      <c r="B60" s="2">
        <v>2.004008016032064E-2</v>
      </c>
    </row>
    <row r="61" spans="1:2" x14ac:dyDescent="0.15">
      <c r="A61" s="1">
        <v>2012</v>
      </c>
      <c r="B61" s="2">
        <v>2.6402640264026406E-2</v>
      </c>
    </row>
    <row r="62" spans="1:2" x14ac:dyDescent="0.15">
      <c r="A62" s="1">
        <v>2013</v>
      </c>
      <c r="B62" s="2">
        <v>2.3391812865497078E-2</v>
      </c>
    </row>
    <row r="63" spans="1:2" x14ac:dyDescent="0.15">
      <c r="A63" s="1">
        <v>2014</v>
      </c>
      <c r="B63" s="2">
        <v>2.3529411764705882E-2</v>
      </c>
    </row>
    <row r="64" spans="1:2" x14ac:dyDescent="0.15">
      <c r="A64" s="1">
        <v>2015</v>
      </c>
      <c r="B64" s="2">
        <v>1.3458950201884255E-2</v>
      </c>
    </row>
    <row r="65" spans="1:2" x14ac:dyDescent="0.15">
      <c r="A65" s="1">
        <v>2016</v>
      </c>
      <c r="B65" s="2">
        <v>0</v>
      </c>
    </row>
    <row r="66" spans="1:2" x14ac:dyDescent="0.15">
      <c r="A66" s="1">
        <v>2017</v>
      </c>
      <c r="B66" s="2">
        <v>3.5523978685612793E-2</v>
      </c>
    </row>
    <row r="67" spans="1:2" x14ac:dyDescent="0.15">
      <c r="A67" t="s">
        <v>30</v>
      </c>
    </row>
    <row r="68" spans="1:2" x14ac:dyDescent="0.15">
      <c r="A68" t="s">
        <v>29</v>
      </c>
    </row>
    <row r="69" spans="1:2" x14ac:dyDescent="0.15">
      <c r="A69" s="1" t="s">
        <v>28</v>
      </c>
    </row>
    <row r="70" spans="1:2" x14ac:dyDescent="0.15">
      <c r="A70" t="s">
        <v>27</v>
      </c>
      <c r="B70">
        <f>11.2571+8.7075</f>
        <v>19.964599999999997</v>
      </c>
    </row>
    <row r="71" spans="1:2" x14ac:dyDescent="0.15">
      <c r="A71" t="s">
        <v>26</v>
      </c>
      <c r="B71">
        <v>1.4721</v>
      </c>
    </row>
    <row r="72" spans="1:2" x14ac:dyDescent="0.15">
      <c r="A72" t="s">
        <v>25</v>
      </c>
      <c r="B72">
        <v>8.1975999999999996</v>
      </c>
    </row>
    <row r="73" spans="1:2" x14ac:dyDescent="0.15">
      <c r="A73" t="s">
        <v>24</v>
      </c>
      <c r="B73">
        <f>24.3441+8.7075</f>
        <v>33.051600000000001</v>
      </c>
    </row>
    <row r="74" spans="1:2" x14ac:dyDescent="0.15">
      <c r="A74" t="s">
        <v>23</v>
      </c>
      <c r="B74">
        <v>19.6632</v>
      </c>
    </row>
    <row r="75" spans="1:2" x14ac:dyDescent="0.15">
      <c r="A75" t="s">
        <v>22</v>
      </c>
    </row>
    <row r="76" spans="1:2" x14ac:dyDescent="0.15">
      <c r="A76" t="s">
        <v>21</v>
      </c>
      <c r="B76">
        <f>B73-B72+8.7075</f>
        <v>33.561499999999995</v>
      </c>
    </row>
    <row r="77" spans="1:2" x14ac:dyDescent="0.15">
      <c r="A77" t="s">
        <v>20</v>
      </c>
      <c r="B77">
        <f>B73/B74</f>
        <v>1.6808861222995239</v>
      </c>
    </row>
    <row r="78" spans="1:2" x14ac:dyDescent="0.15">
      <c r="A78" t="s">
        <v>19</v>
      </c>
      <c r="B78" s="2">
        <f>B72/B20</f>
        <v>8.9425111814115846E-2</v>
      </c>
    </row>
    <row r="79" spans="1:2" x14ac:dyDescent="0.15">
      <c r="A79" t="s">
        <v>18</v>
      </c>
      <c r="B79" s="2">
        <f>B71/B20</f>
        <v>1.6058688774953638E-2</v>
      </c>
    </row>
    <row r="80" spans="1:2" x14ac:dyDescent="0.15">
      <c r="A80" t="s">
        <v>17</v>
      </c>
      <c r="B80">
        <f>29.2331</f>
        <v>29.2331</v>
      </c>
    </row>
    <row r="81" spans="1:2" x14ac:dyDescent="0.15">
      <c r="A81" t="s">
        <v>16</v>
      </c>
      <c r="B81">
        <f>(B70-23.0226)/7.37</f>
        <v>-0.41492537313432881</v>
      </c>
    </row>
    <row r="82" spans="1:2" x14ac:dyDescent="0.15">
      <c r="A82" t="s">
        <v>15</v>
      </c>
      <c r="B82">
        <f>(B76-23.0226)/7.37</f>
        <v>1.4299728629579369</v>
      </c>
    </row>
    <row r="83" spans="1:2" x14ac:dyDescent="0.15">
      <c r="A83" t="s">
        <v>14</v>
      </c>
      <c r="B83">
        <f>B80/7.37</f>
        <v>3.9664993215739486</v>
      </c>
    </row>
    <row r="84" spans="1:2" x14ac:dyDescent="0.15">
      <c r="A84" s="1" t="s">
        <v>13</v>
      </c>
    </row>
    <row r="85" spans="1:2" x14ac:dyDescent="0.15">
      <c r="A85" t="s">
        <v>12</v>
      </c>
    </row>
    <row r="86" spans="1:2" x14ac:dyDescent="0.15">
      <c r="A86" t="s">
        <v>11</v>
      </c>
    </row>
    <row r="87" spans="1:2" x14ac:dyDescent="0.15">
      <c r="A87" t="s">
        <v>10</v>
      </c>
    </row>
    <row r="88" spans="1:2" x14ac:dyDescent="0.15">
      <c r="A88" t="s">
        <v>9</v>
      </c>
    </row>
    <row r="89" spans="1:2" x14ac:dyDescent="0.15">
      <c r="A89" t="s">
        <v>8</v>
      </c>
    </row>
    <row r="90" spans="1:2" x14ac:dyDescent="0.15">
      <c r="A90" t="s">
        <v>7</v>
      </c>
    </row>
    <row r="91" spans="1:2" x14ac:dyDescent="0.15">
      <c r="A91" t="s">
        <v>6</v>
      </c>
    </row>
    <row r="92" spans="1:2" x14ac:dyDescent="0.15">
      <c r="A92" t="s">
        <v>5</v>
      </c>
    </row>
    <row r="93" spans="1:2" x14ac:dyDescent="0.15">
      <c r="A93" t="s">
        <v>4</v>
      </c>
    </row>
    <row r="94" spans="1:2" x14ac:dyDescent="0.15">
      <c r="A94" t="s">
        <v>3</v>
      </c>
    </row>
    <row r="95" spans="1:2" x14ac:dyDescent="0.15">
      <c r="A95" t="s">
        <v>2</v>
      </c>
    </row>
    <row r="96" spans="1:2" x14ac:dyDescent="0.15">
      <c r="A96" t="s">
        <v>1</v>
      </c>
    </row>
    <row r="97" spans="1:1" x14ac:dyDescent="0.15">
      <c r="A97" t="s">
        <v>0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"/>
  <sheetViews>
    <sheetView workbookViewId="0">
      <selection activeCell="H27" sqref="H27"/>
    </sheetView>
  </sheetViews>
  <sheetFormatPr defaultRowHeight="13.5" x14ac:dyDescent="0.15"/>
  <cols>
    <col min="4" max="4" width="10" customWidth="1"/>
    <col min="6" max="6" width="18.125" customWidth="1"/>
    <col min="7" max="7" width="10.125" customWidth="1"/>
    <col min="8" max="8" width="11.25" customWidth="1"/>
    <col min="9" max="9" width="34.875" customWidth="1"/>
  </cols>
  <sheetData>
    <row r="1" spans="1:10" s="1" customFormat="1" x14ac:dyDescent="0.15">
      <c r="A1" s="1" t="s">
        <v>391</v>
      </c>
      <c r="B1" s="1" t="s">
        <v>326</v>
      </c>
      <c r="C1" s="1" t="s">
        <v>327</v>
      </c>
      <c r="D1" s="1" t="s">
        <v>328</v>
      </c>
      <c r="E1" s="1" t="s">
        <v>337</v>
      </c>
      <c r="F1" s="1" t="s">
        <v>192</v>
      </c>
      <c r="G1" s="1" t="s">
        <v>73</v>
      </c>
      <c r="H1" s="1" t="s">
        <v>257</v>
      </c>
      <c r="I1" s="1" t="s">
        <v>350</v>
      </c>
      <c r="J1" s="1" t="s">
        <v>351</v>
      </c>
    </row>
    <row r="2" spans="1:10" x14ac:dyDescent="0.15">
      <c r="B2">
        <v>2008</v>
      </c>
      <c r="C2">
        <v>1.42</v>
      </c>
      <c r="F2">
        <v>2011</v>
      </c>
      <c r="G2">
        <v>0.44340000000000002</v>
      </c>
      <c r="H2" t="s">
        <v>338</v>
      </c>
      <c r="J2">
        <f>24.55/3.39</f>
        <v>7.2418879056047194</v>
      </c>
    </row>
    <row r="3" spans="1:10" x14ac:dyDescent="0.15">
      <c r="B3">
        <v>2009</v>
      </c>
      <c r="C3">
        <v>0.50900000000000001</v>
      </c>
      <c r="F3">
        <v>2012</v>
      </c>
      <c r="G3">
        <v>0.37530000000000002</v>
      </c>
      <c r="H3" t="s">
        <v>339</v>
      </c>
      <c r="I3" s="1" t="s">
        <v>28</v>
      </c>
    </row>
    <row r="4" spans="1:10" x14ac:dyDescent="0.15">
      <c r="B4">
        <v>2010</v>
      </c>
      <c r="C4">
        <v>0.33</v>
      </c>
      <c r="D4" t="s">
        <v>329</v>
      </c>
      <c r="F4">
        <v>2013</v>
      </c>
      <c r="G4">
        <v>0.39410000000000001</v>
      </c>
      <c r="H4" t="s">
        <v>340</v>
      </c>
      <c r="I4" t="s">
        <v>27</v>
      </c>
      <c r="J4">
        <v>2.4900000000000002</v>
      </c>
    </row>
    <row r="5" spans="1:10" x14ac:dyDescent="0.15">
      <c r="B5">
        <v>2011</v>
      </c>
      <c r="C5">
        <v>0.36</v>
      </c>
      <c r="D5" t="s">
        <v>330</v>
      </c>
      <c r="F5">
        <v>2014</v>
      </c>
      <c r="G5">
        <v>0.50860000000000005</v>
      </c>
      <c r="H5" t="s">
        <v>341</v>
      </c>
      <c r="I5" t="s">
        <v>26</v>
      </c>
      <c r="J5">
        <v>2.44</v>
      </c>
    </row>
    <row r="6" spans="1:10" x14ac:dyDescent="0.15">
      <c r="B6">
        <v>2012</v>
      </c>
      <c r="C6">
        <v>0.34</v>
      </c>
      <c r="D6" t="s">
        <v>331</v>
      </c>
      <c r="F6">
        <v>2015</v>
      </c>
      <c r="G6">
        <v>0.26790000000000003</v>
      </c>
      <c r="H6" t="s">
        <v>342</v>
      </c>
      <c r="I6" t="s">
        <v>25</v>
      </c>
      <c r="J6">
        <v>1.2</v>
      </c>
    </row>
    <row r="7" spans="1:10" x14ac:dyDescent="0.15">
      <c r="B7">
        <v>2013</v>
      </c>
      <c r="C7">
        <v>0.72</v>
      </c>
      <c r="D7" t="s">
        <v>332</v>
      </c>
      <c r="F7">
        <v>2016</v>
      </c>
      <c r="G7">
        <v>0.14530000000000001</v>
      </c>
      <c r="H7" t="s">
        <v>343</v>
      </c>
      <c r="I7" t="s">
        <v>24</v>
      </c>
      <c r="J7">
        <v>24.65</v>
      </c>
    </row>
    <row r="8" spans="1:10" x14ac:dyDescent="0.15">
      <c r="B8">
        <v>2014</v>
      </c>
      <c r="C8">
        <v>0.77</v>
      </c>
      <c r="D8" t="s">
        <v>333</v>
      </c>
      <c r="F8">
        <v>2017</v>
      </c>
      <c r="G8">
        <v>0.16350000000000001</v>
      </c>
      <c r="H8" t="s">
        <v>344</v>
      </c>
      <c r="I8" t="s">
        <v>23</v>
      </c>
      <c r="J8">
        <v>3.39</v>
      </c>
    </row>
    <row r="9" spans="1:10" x14ac:dyDescent="0.15">
      <c r="B9">
        <v>2015</v>
      </c>
      <c r="C9">
        <v>1.23</v>
      </c>
      <c r="D9" t="s">
        <v>334</v>
      </c>
      <c r="F9">
        <v>2018</v>
      </c>
      <c r="G9">
        <f>0.019*4</f>
        <v>7.5999999999999998E-2</v>
      </c>
      <c r="H9">
        <v>4.09</v>
      </c>
      <c r="I9" t="s">
        <v>22</v>
      </c>
      <c r="J9">
        <v>0.63</v>
      </c>
    </row>
    <row r="10" spans="1:10" x14ac:dyDescent="0.15">
      <c r="B10">
        <v>2016</v>
      </c>
      <c r="C10">
        <v>1.37</v>
      </c>
      <c r="D10" t="s">
        <v>335</v>
      </c>
      <c r="G10">
        <f>53/19</f>
        <v>2.7894736842105261</v>
      </c>
      <c r="H10" s="2"/>
      <c r="I10" t="s">
        <v>21</v>
      </c>
      <c r="J10">
        <f>J7-J6</f>
        <v>23.45</v>
      </c>
    </row>
    <row r="11" spans="1:10" x14ac:dyDescent="0.15">
      <c r="B11">
        <v>2017</v>
      </c>
      <c r="C11">
        <v>1.72</v>
      </c>
      <c r="D11" t="s">
        <v>336</v>
      </c>
      <c r="G11" s="2">
        <f>G9/4.09</f>
        <v>1.8581907090464547E-2</v>
      </c>
      <c r="I11" t="s">
        <v>20</v>
      </c>
      <c r="J11">
        <f>J2</f>
        <v>7.2418879056047194</v>
      </c>
    </row>
    <row r="12" spans="1:10" x14ac:dyDescent="0.15">
      <c r="B12">
        <v>2018</v>
      </c>
      <c r="C12">
        <v>1.79</v>
      </c>
      <c r="D12">
        <v>18.62</v>
      </c>
      <c r="G12">
        <f>105083506/475</f>
        <v>221228.43368421053</v>
      </c>
      <c r="I12" t="s">
        <v>19</v>
      </c>
      <c r="J12">
        <f>J6/8.94</f>
        <v>0.13422818791946309</v>
      </c>
    </row>
    <row r="13" spans="1:10" ht="14.25" x14ac:dyDescent="0.15">
      <c r="F13" s="23">
        <v>1</v>
      </c>
      <c r="I13" t="s">
        <v>18</v>
      </c>
      <c r="J13">
        <f>J5/8.94</f>
        <v>0.27293064876957496</v>
      </c>
    </row>
    <row r="14" spans="1:10" ht="14.25" x14ac:dyDescent="0.15">
      <c r="F14" s="23"/>
      <c r="I14" t="s">
        <v>17</v>
      </c>
      <c r="J14">
        <f>39.13-3.56-7.64</f>
        <v>27.93</v>
      </c>
    </row>
    <row r="15" spans="1:10" ht="14.25" x14ac:dyDescent="0.15">
      <c r="F15" s="21"/>
      <c r="I15" t="s">
        <v>16</v>
      </c>
      <c r="J15">
        <f>(J4-J8)/11.6</f>
        <v>-7.7586206896551713E-2</v>
      </c>
    </row>
    <row r="16" spans="1:10" ht="14.25" x14ac:dyDescent="0.15">
      <c r="F16" s="21"/>
      <c r="I16" t="s">
        <v>15</v>
      </c>
      <c r="J16">
        <f>(J10-3.56)/11.7</f>
        <v>1.7000000000000002</v>
      </c>
    </row>
    <row r="17" spans="1:10" ht="14.25" x14ac:dyDescent="0.15">
      <c r="F17" s="22"/>
      <c r="I17" t="s">
        <v>14</v>
      </c>
      <c r="J17">
        <f>J14/11.7</f>
        <v>2.3871794871794871</v>
      </c>
    </row>
    <row r="18" spans="1:10" ht="14.25" x14ac:dyDescent="0.15">
      <c r="F18" s="23"/>
    </row>
    <row r="19" spans="1:10" x14ac:dyDescent="0.15">
      <c r="A19" s="7" t="s">
        <v>74</v>
      </c>
      <c r="B19" s="7" t="s">
        <v>73</v>
      </c>
      <c r="C19" s="7" t="s">
        <v>72</v>
      </c>
      <c r="D19" s="7" t="s">
        <v>71</v>
      </c>
      <c r="E19" s="7" t="s">
        <v>70</v>
      </c>
      <c r="F19" s="7" t="s">
        <v>69</v>
      </c>
      <c r="G19" s="7" t="s">
        <v>352</v>
      </c>
      <c r="H19" s="25" t="s">
        <v>347</v>
      </c>
      <c r="I19" s="7" t="s">
        <v>346</v>
      </c>
    </row>
    <row r="20" spans="1:10" ht="14.25" x14ac:dyDescent="0.15">
      <c r="A20">
        <v>2008</v>
      </c>
      <c r="F20" s="23"/>
      <c r="G20">
        <v>0.11</v>
      </c>
      <c r="H20" s="26">
        <f>G20/I20</f>
        <v>4.5643153526970952E-2</v>
      </c>
      <c r="I20">
        <v>2.41</v>
      </c>
    </row>
    <row r="21" spans="1:10" ht="14.25" x14ac:dyDescent="0.15">
      <c r="A21">
        <v>2009</v>
      </c>
      <c r="F21" s="23"/>
      <c r="G21">
        <v>0.45</v>
      </c>
      <c r="H21" s="26">
        <f t="shared" ref="H21:H29" si="0">G21/I21</f>
        <v>0.18672199170124482</v>
      </c>
      <c r="I21">
        <v>2.41</v>
      </c>
    </row>
    <row r="22" spans="1:10" ht="14.25" x14ac:dyDescent="0.15">
      <c r="A22">
        <v>2010</v>
      </c>
      <c r="B22">
        <v>0.83</v>
      </c>
      <c r="F22" s="21"/>
      <c r="G22">
        <v>0.62</v>
      </c>
      <c r="H22" s="26">
        <f t="shared" si="0"/>
        <v>0.25726141078838172</v>
      </c>
      <c r="I22">
        <v>2.41</v>
      </c>
    </row>
    <row r="23" spans="1:10" ht="14.25" x14ac:dyDescent="0.15">
      <c r="A23">
        <v>2011</v>
      </c>
      <c r="B23">
        <v>0.79</v>
      </c>
      <c r="F23" s="21"/>
      <c r="G23">
        <v>0.59</v>
      </c>
      <c r="H23" s="26">
        <f t="shared" si="0"/>
        <v>0.24481327800829872</v>
      </c>
      <c r="I23">
        <v>2.41</v>
      </c>
    </row>
    <row r="24" spans="1:10" ht="14.25" x14ac:dyDescent="0.15">
      <c r="A24">
        <v>2012</v>
      </c>
      <c r="B24">
        <v>0.35</v>
      </c>
      <c r="F24" s="23"/>
      <c r="G24">
        <v>0.32</v>
      </c>
      <c r="H24" s="26">
        <f t="shared" si="0"/>
        <v>0.13278008298755187</v>
      </c>
      <c r="I24">
        <v>2.41</v>
      </c>
    </row>
    <row r="25" spans="1:10" ht="14.25" x14ac:dyDescent="0.15">
      <c r="A25">
        <v>2013</v>
      </c>
      <c r="B25">
        <v>0.4</v>
      </c>
      <c r="F25" s="24"/>
      <c r="G25">
        <v>0.4</v>
      </c>
      <c r="H25" s="26">
        <f t="shared" si="0"/>
        <v>0.16597510373443983</v>
      </c>
      <c r="I25">
        <v>2.41</v>
      </c>
    </row>
    <row r="26" spans="1:10" ht="14.25" x14ac:dyDescent="0.15">
      <c r="A26">
        <v>2014</v>
      </c>
      <c r="B26">
        <v>0.35</v>
      </c>
      <c r="F26" s="23"/>
      <c r="G26">
        <v>0.7</v>
      </c>
      <c r="H26" s="26">
        <f t="shared" si="0"/>
        <v>0.29045643153526968</v>
      </c>
      <c r="I26">
        <v>2.41</v>
      </c>
    </row>
    <row r="27" spans="1:10" ht="14.25" x14ac:dyDescent="0.15">
      <c r="A27">
        <v>2015</v>
      </c>
      <c r="B27">
        <v>0.56000000000000005</v>
      </c>
      <c r="F27" s="23"/>
      <c r="G27">
        <v>1.1299999999999999</v>
      </c>
      <c r="H27" s="26">
        <f t="shared" si="0"/>
        <v>0.46887966804979248</v>
      </c>
      <c r="I27">
        <v>2.41</v>
      </c>
    </row>
    <row r="28" spans="1:10" ht="14.25" x14ac:dyDescent="0.15">
      <c r="A28">
        <v>2016</v>
      </c>
      <c r="B28">
        <v>0.41</v>
      </c>
      <c r="F28" s="23"/>
      <c r="G28">
        <v>0.83</v>
      </c>
      <c r="H28" s="26">
        <f t="shared" si="0"/>
        <v>0.3443983402489626</v>
      </c>
      <c r="I28">
        <v>2.41</v>
      </c>
    </row>
    <row r="29" spans="1:10" ht="14.25" x14ac:dyDescent="0.15">
      <c r="A29">
        <v>2017</v>
      </c>
      <c r="B29">
        <v>0.19</v>
      </c>
      <c r="F29" s="23"/>
      <c r="G29">
        <v>0.43</v>
      </c>
      <c r="H29" s="26">
        <f t="shared" si="0"/>
        <v>0.1784232365145228</v>
      </c>
      <c r="I29">
        <v>2.41</v>
      </c>
    </row>
    <row r="30" spans="1:10" ht="14.25" x14ac:dyDescent="0.15">
      <c r="F30" s="21"/>
      <c r="G30">
        <f>SUM(G20:G29)</f>
        <v>5.5799999999999992</v>
      </c>
      <c r="H30" s="26">
        <f>SUM(H20:H29)/10</f>
        <v>0.2315352697095435</v>
      </c>
      <c r="I30" s="2">
        <f>H30/20</f>
        <v>1.1576763485477174E-2</v>
      </c>
    </row>
    <row r="31" spans="1:10" ht="14.25" x14ac:dyDescent="0.15">
      <c r="F31" s="21"/>
    </row>
    <row r="32" spans="1:10" ht="14.25" x14ac:dyDescent="0.15">
      <c r="F32" s="22"/>
    </row>
    <row r="33" spans="6:6" ht="14.25" x14ac:dyDescent="0.15">
      <c r="F33" s="23"/>
    </row>
    <row r="34" spans="6:6" ht="14.25" x14ac:dyDescent="0.15">
      <c r="F34" s="23"/>
    </row>
    <row r="35" spans="6:6" ht="14.25" x14ac:dyDescent="0.15">
      <c r="F35" s="21"/>
    </row>
    <row r="36" spans="6:6" ht="14.25" x14ac:dyDescent="0.15">
      <c r="F36" s="21"/>
    </row>
    <row r="37" spans="6:6" ht="14.25" x14ac:dyDescent="0.15">
      <c r="F37" s="22"/>
    </row>
    <row r="38" spans="6:6" ht="14.25" x14ac:dyDescent="0.15">
      <c r="F38" s="23"/>
    </row>
    <row r="39" spans="6:6" ht="14.25" x14ac:dyDescent="0.15">
      <c r="F39" s="23"/>
    </row>
    <row r="40" spans="6:6" ht="14.25" x14ac:dyDescent="0.15">
      <c r="F40" s="23"/>
    </row>
    <row r="41" spans="6:6" ht="14.25" x14ac:dyDescent="0.15">
      <c r="F41" s="23"/>
    </row>
    <row r="42" spans="6:6" ht="14.25" x14ac:dyDescent="0.15">
      <c r="F42" s="21"/>
    </row>
    <row r="43" spans="6:6" ht="14.25" x14ac:dyDescent="0.15">
      <c r="F43" s="21"/>
    </row>
    <row r="44" spans="6:6" ht="14.25" x14ac:dyDescent="0.15">
      <c r="F44" s="22"/>
    </row>
    <row r="45" spans="6:6" ht="14.25" x14ac:dyDescent="0.15">
      <c r="F45" s="23"/>
    </row>
    <row r="46" spans="6:6" ht="14.25" x14ac:dyDescent="0.15">
      <c r="F46" s="23"/>
    </row>
    <row r="47" spans="6:6" ht="14.25" x14ac:dyDescent="0.15">
      <c r="F47" s="23"/>
    </row>
    <row r="48" spans="6:6" ht="14.25" x14ac:dyDescent="0.15">
      <c r="F48" s="23"/>
    </row>
    <row r="49" spans="6:6" ht="14.25" x14ac:dyDescent="0.15">
      <c r="F49" s="21"/>
    </row>
    <row r="50" spans="6:6" ht="14.25" x14ac:dyDescent="0.15">
      <c r="F50" s="21"/>
    </row>
    <row r="51" spans="6:6" ht="14.25" x14ac:dyDescent="0.15">
      <c r="F51" s="22"/>
    </row>
    <row r="52" spans="6:6" ht="14.25" x14ac:dyDescent="0.15">
      <c r="F52" s="23"/>
    </row>
    <row r="53" spans="6:6" ht="14.25" x14ac:dyDescent="0.15">
      <c r="F53" s="23"/>
    </row>
    <row r="54" spans="6:6" ht="14.25" x14ac:dyDescent="0.15">
      <c r="F54" s="21"/>
    </row>
    <row r="55" spans="6:6" ht="14.25" x14ac:dyDescent="0.15">
      <c r="F55" s="21"/>
    </row>
    <row r="56" spans="6:6" ht="14.25" x14ac:dyDescent="0.15">
      <c r="F56" s="22"/>
    </row>
    <row r="57" spans="6:6" ht="14.25" x14ac:dyDescent="0.15">
      <c r="F57" s="23"/>
    </row>
    <row r="58" spans="6:6" ht="14.25" x14ac:dyDescent="0.15">
      <c r="F58" s="21"/>
    </row>
    <row r="59" spans="6:6" ht="14.25" x14ac:dyDescent="0.15">
      <c r="F59" s="21"/>
    </row>
    <row r="60" spans="6:6" ht="14.25" x14ac:dyDescent="0.15">
      <c r="F60" s="2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9"/>
  <sheetViews>
    <sheetView workbookViewId="0">
      <selection activeCell="C30" sqref="C30"/>
    </sheetView>
  </sheetViews>
  <sheetFormatPr defaultRowHeight="13.5" x14ac:dyDescent="0.15"/>
  <cols>
    <col min="1" max="1" width="104.5" customWidth="1"/>
    <col min="2" max="2" width="18.875" customWidth="1"/>
    <col min="4" max="4" width="14.875" customWidth="1"/>
    <col min="7" max="7" width="11.625" customWidth="1"/>
    <col min="8" max="8" width="12" customWidth="1"/>
    <col min="15" max="15" width="9.5" bestFit="1" customWidth="1"/>
  </cols>
  <sheetData>
    <row r="1" spans="1:11" x14ac:dyDescent="0.15">
      <c r="A1" s="7" t="s">
        <v>74</v>
      </c>
      <c r="B1" s="7" t="s">
        <v>73</v>
      </c>
      <c r="C1" s="7" t="s">
        <v>72</v>
      </c>
      <c r="D1" s="7" t="s">
        <v>71</v>
      </c>
      <c r="E1" s="7" t="s">
        <v>70</v>
      </c>
      <c r="F1" s="7" t="s">
        <v>69</v>
      </c>
      <c r="G1" s="7" t="s">
        <v>352</v>
      </c>
      <c r="H1" s="25" t="s">
        <v>347</v>
      </c>
      <c r="I1" s="7" t="s">
        <v>346</v>
      </c>
      <c r="J1" s="7"/>
    </row>
    <row r="2" spans="1:11" x14ac:dyDescent="0.15">
      <c r="A2">
        <v>2008</v>
      </c>
      <c r="B2">
        <v>2.8E-3</v>
      </c>
      <c r="D2" t="s">
        <v>363</v>
      </c>
      <c r="G2">
        <v>0.27250000000000002</v>
      </c>
      <c r="H2" s="28">
        <f>G2/I2</f>
        <v>2.3491379310344829E-2</v>
      </c>
      <c r="I2">
        <v>11.6</v>
      </c>
      <c r="J2">
        <v>3.5</v>
      </c>
      <c r="K2">
        <f>G2/J2</f>
        <v>7.7857142857142861E-2</v>
      </c>
    </row>
    <row r="3" spans="1:11" x14ac:dyDescent="0.15">
      <c r="A3">
        <v>2009</v>
      </c>
      <c r="B3">
        <v>-0.2666</v>
      </c>
      <c r="D3" t="s">
        <v>364</v>
      </c>
      <c r="G3">
        <v>0.02</v>
      </c>
      <c r="H3" s="28">
        <f t="shared" ref="H3:H11" si="0">G3/I3</f>
        <v>1.724137931034483E-3</v>
      </c>
      <c r="I3">
        <v>11.6</v>
      </c>
      <c r="J3">
        <v>3.5</v>
      </c>
      <c r="K3">
        <f t="shared" ref="K3:K11" si="1">G3/J3</f>
        <v>5.7142857142857143E-3</v>
      </c>
    </row>
    <row r="4" spans="1:11" x14ac:dyDescent="0.15">
      <c r="A4">
        <v>2010</v>
      </c>
      <c r="B4">
        <v>4.7600000000000003E-2</v>
      </c>
      <c r="D4" t="s">
        <v>365</v>
      </c>
      <c r="G4">
        <v>0.14699999999999999</v>
      </c>
      <c r="H4" s="28">
        <f t="shared" si="0"/>
        <v>1.2672413793103448E-2</v>
      </c>
      <c r="I4">
        <v>11.6</v>
      </c>
      <c r="J4">
        <v>3.5</v>
      </c>
      <c r="K4">
        <f t="shared" si="1"/>
        <v>4.1999999999999996E-2</v>
      </c>
    </row>
    <row r="5" spans="1:11" x14ac:dyDescent="0.15">
      <c r="A5">
        <v>2011</v>
      </c>
      <c r="B5">
        <v>3.1300000000000001E-2</v>
      </c>
      <c r="D5" t="s">
        <v>366</v>
      </c>
      <c r="G5">
        <v>0.1</v>
      </c>
      <c r="H5" s="28">
        <f t="shared" si="0"/>
        <v>8.6206896551724137E-3</v>
      </c>
      <c r="I5">
        <v>11.6</v>
      </c>
      <c r="J5">
        <v>3.5</v>
      </c>
      <c r="K5">
        <f t="shared" si="1"/>
        <v>2.8571428571428574E-2</v>
      </c>
    </row>
    <row r="6" spans="1:11" x14ac:dyDescent="0.15">
      <c r="A6">
        <v>2012</v>
      </c>
      <c r="B6">
        <v>0.39839999999999998</v>
      </c>
      <c r="D6" t="s">
        <v>367</v>
      </c>
      <c r="G6">
        <v>1.8</v>
      </c>
      <c r="H6" s="28">
        <f t="shared" si="0"/>
        <v>0.15517241379310345</v>
      </c>
      <c r="I6">
        <v>11.6</v>
      </c>
      <c r="J6">
        <v>6.92</v>
      </c>
      <c r="K6">
        <f t="shared" si="1"/>
        <v>0.26011560693641622</v>
      </c>
    </row>
    <row r="7" spans="1:11" x14ac:dyDescent="0.15">
      <c r="A7">
        <v>2013</v>
      </c>
      <c r="B7">
        <v>0.4451</v>
      </c>
      <c r="D7" t="s">
        <v>368</v>
      </c>
      <c r="G7">
        <v>3.12</v>
      </c>
      <c r="H7" s="28">
        <f t="shared" si="0"/>
        <v>0.26896551724137935</v>
      </c>
      <c r="I7">
        <v>11.6</v>
      </c>
      <c r="J7">
        <v>6.92</v>
      </c>
      <c r="K7">
        <f t="shared" si="1"/>
        <v>0.45086705202312138</v>
      </c>
    </row>
    <row r="8" spans="1:11" x14ac:dyDescent="0.15">
      <c r="A8">
        <v>2014</v>
      </c>
      <c r="B8">
        <v>0.32529999999999998</v>
      </c>
      <c r="D8" t="s">
        <v>369</v>
      </c>
      <c r="G8">
        <f>-4.61+5.71+1.53</f>
        <v>2.63</v>
      </c>
      <c r="H8" s="28">
        <f t="shared" si="0"/>
        <v>0.22672413793103449</v>
      </c>
      <c r="I8">
        <v>11.6</v>
      </c>
      <c r="J8">
        <v>6.92</v>
      </c>
      <c r="K8">
        <f t="shared" si="1"/>
        <v>0.38005780346820806</v>
      </c>
    </row>
    <row r="9" spans="1:11" x14ac:dyDescent="0.15">
      <c r="A9">
        <v>2015</v>
      </c>
      <c r="B9">
        <v>-0.3836</v>
      </c>
      <c r="D9" t="s">
        <v>370</v>
      </c>
      <c r="G9">
        <f>-0.368+1.5</f>
        <v>1.1320000000000001</v>
      </c>
      <c r="H9" s="28">
        <f t="shared" si="0"/>
        <v>9.758620689655173E-2</v>
      </c>
      <c r="I9">
        <v>11.6</v>
      </c>
      <c r="J9">
        <v>11.61</v>
      </c>
      <c r="K9">
        <f t="shared" si="1"/>
        <v>9.7502153316106815E-2</v>
      </c>
    </row>
    <row r="10" spans="1:11" ht="12.75" customHeight="1" x14ac:dyDescent="0.15">
      <c r="A10">
        <v>2016</v>
      </c>
      <c r="B10">
        <v>0.16320000000000001</v>
      </c>
      <c r="D10" t="s">
        <v>371</v>
      </c>
      <c r="G10">
        <f>-1.6+1.95</f>
        <v>0.34999999999999987</v>
      </c>
      <c r="H10" s="28">
        <f t="shared" si="0"/>
        <v>3.0172413793103439E-2</v>
      </c>
      <c r="I10">
        <v>11.6</v>
      </c>
      <c r="J10">
        <v>11.61</v>
      </c>
      <c r="K10">
        <f t="shared" si="1"/>
        <v>3.0146425495262693E-2</v>
      </c>
    </row>
    <row r="11" spans="1:11" x14ac:dyDescent="0.15">
      <c r="A11">
        <v>2017</v>
      </c>
      <c r="B11">
        <v>6.25E-2</v>
      </c>
      <c r="D11" t="s">
        <v>372</v>
      </c>
      <c r="G11">
        <v>0.93710000000000004</v>
      </c>
      <c r="H11" s="28">
        <f t="shared" si="0"/>
        <v>8.0784482758620699E-2</v>
      </c>
      <c r="I11">
        <v>11.6</v>
      </c>
      <c r="J11">
        <v>11.61</v>
      </c>
      <c r="K11">
        <f t="shared" si="1"/>
        <v>8.0714900947459089E-2</v>
      </c>
    </row>
    <row r="12" spans="1:11" x14ac:dyDescent="0.15">
      <c r="B12">
        <f>SUM(B2:B11)/10</f>
        <v>8.2600000000000007E-2</v>
      </c>
      <c r="G12">
        <f>SUM(G2:G11)</f>
        <v>10.508600000000001</v>
      </c>
      <c r="H12" s="27">
        <f>SUM(H2:H11)/10</f>
        <v>9.0591379310344833E-2</v>
      </c>
      <c r="K12" s="26">
        <f>SUM(K2:K11)/10</f>
        <v>0.14535467993294313</v>
      </c>
    </row>
    <row r="13" spans="1:11" x14ac:dyDescent="0.15">
      <c r="A13" s="1">
        <v>2017</v>
      </c>
    </row>
    <row r="14" spans="1:11" x14ac:dyDescent="0.15">
      <c r="A14" s="1" t="s">
        <v>353</v>
      </c>
      <c r="B14">
        <v>0.49740000000000001</v>
      </c>
    </row>
    <row r="15" spans="1:11" x14ac:dyDescent="0.15">
      <c r="A15" s="1" t="s">
        <v>354</v>
      </c>
      <c r="B15">
        <v>0.1163</v>
      </c>
    </row>
    <row r="16" spans="1:11" x14ac:dyDescent="0.15">
      <c r="A16" s="1" t="s">
        <v>355</v>
      </c>
      <c r="B16">
        <f>0.0033-0.0251</f>
        <v>-2.18E-2</v>
      </c>
    </row>
    <row r="17" spans="1:4" x14ac:dyDescent="0.15">
      <c r="A17" s="1" t="s">
        <v>356</v>
      </c>
      <c r="B17">
        <v>0.1799</v>
      </c>
    </row>
    <row r="18" spans="1:4" x14ac:dyDescent="0.15">
      <c r="A18" s="1" t="s">
        <v>357</v>
      </c>
      <c r="B18">
        <f>0.2374-0.2068</f>
        <v>3.0599999999999988E-2</v>
      </c>
    </row>
    <row r="19" spans="1:4" x14ac:dyDescent="0.15">
      <c r="A19" s="1" t="s">
        <v>358</v>
      </c>
      <c r="B19">
        <f>15.36-15.2</f>
        <v>0.16000000000000014</v>
      </c>
      <c r="C19">
        <f>15.19-14.59</f>
        <v>0.59999999999999964</v>
      </c>
    </row>
    <row r="20" spans="1:4" x14ac:dyDescent="0.15">
      <c r="A20" s="1" t="s">
        <v>359</v>
      </c>
      <c r="B20">
        <f>2.33-0.36</f>
        <v>1.9700000000000002</v>
      </c>
      <c r="C20">
        <f>0.3628-0.166</f>
        <v>0.1968</v>
      </c>
    </row>
    <row r="21" spans="1:4" x14ac:dyDescent="0.15">
      <c r="A21" s="1"/>
      <c r="B21" t="s">
        <v>360</v>
      </c>
      <c r="C21">
        <v>0.65700000000000003</v>
      </c>
      <c r="D21">
        <v>0.24149999999999999</v>
      </c>
    </row>
    <row r="22" spans="1:4" x14ac:dyDescent="0.15">
      <c r="A22" s="1"/>
      <c r="B22" t="s">
        <v>361</v>
      </c>
      <c r="C22">
        <v>0.83389999999999997</v>
      </c>
      <c r="D22">
        <v>4.5999999999999999E-2</v>
      </c>
    </row>
    <row r="23" spans="1:4" x14ac:dyDescent="0.15">
      <c r="A23" s="1" t="s">
        <v>362</v>
      </c>
      <c r="B23">
        <f>0.8824-0.7496</f>
        <v>0.13279999999999992</v>
      </c>
    </row>
    <row r="25" spans="1:4" x14ac:dyDescent="0.15">
      <c r="A25" s="1" t="s">
        <v>373</v>
      </c>
    </row>
    <row r="26" spans="1:4" x14ac:dyDescent="0.15">
      <c r="A26" t="s">
        <v>374</v>
      </c>
      <c r="B26">
        <v>2.4900000000000002</v>
      </c>
    </row>
    <row r="27" spans="1:4" x14ac:dyDescent="0.15">
      <c r="A27" t="s">
        <v>375</v>
      </c>
      <c r="B27">
        <v>2.44</v>
      </c>
    </row>
    <row r="28" spans="1:4" x14ac:dyDescent="0.15">
      <c r="A28" t="s">
        <v>376</v>
      </c>
      <c r="B28">
        <v>1.2</v>
      </c>
    </row>
    <row r="29" spans="1:4" x14ac:dyDescent="0.15">
      <c r="A29" t="s">
        <v>377</v>
      </c>
      <c r="B29">
        <v>24.65</v>
      </c>
    </row>
    <row r="30" spans="1:4" x14ac:dyDescent="0.15">
      <c r="A30" t="s">
        <v>378</v>
      </c>
      <c r="B30">
        <v>3.39</v>
      </c>
    </row>
    <row r="31" spans="1:4" x14ac:dyDescent="0.15">
      <c r="A31" t="s">
        <v>379</v>
      </c>
      <c r="B31">
        <v>0.63</v>
      </c>
    </row>
    <row r="32" spans="1:4" x14ac:dyDescent="0.15">
      <c r="A32" t="s">
        <v>380</v>
      </c>
      <c r="B32">
        <v>23.45</v>
      </c>
    </row>
    <row r="33" spans="1:19" x14ac:dyDescent="0.15">
      <c r="A33" t="s">
        <v>381</v>
      </c>
      <c r="B33">
        <v>7.2418879056047194</v>
      </c>
    </row>
    <row r="34" spans="1:19" x14ac:dyDescent="0.15">
      <c r="A34" t="s">
        <v>382</v>
      </c>
      <c r="B34">
        <v>0.13422818791946309</v>
      </c>
    </row>
    <row r="35" spans="1:19" x14ac:dyDescent="0.15">
      <c r="A35" t="s">
        <v>383</v>
      </c>
      <c r="B35">
        <v>0.27293064876957496</v>
      </c>
    </row>
    <row r="36" spans="1:19" x14ac:dyDescent="0.15">
      <c r="A36" t="s">
        <v>384</v>
      </c>
      <c r="B36">
        <v>27.93</v>
      </c>
    </row>
    <row r="37" spans="1:19" x14ac:dyDescent="0.15">
      <c r="A37" t="s">
        <v>385</v>
      </c>
      <c r="B37">
        <v>-7.7586206896551713E-2</v>
      </c>
    </row>
    <row r="38" spans="1:19" x14ac:dyDescent="0.15">
      <c r="A38" t="s">
        <v>386</v>
      </c>
      <c r="B38">
        <v>1.7000000000000002</v>
      </c>
    </row>
    <row r="39" spans="1:19" x14ac:dyDescent="0.15">
      <c r="A39" t="s">
        <v>387</v>
      </c>
      <c r="B39">
        <v>2.3871794871794871</v>
      </c>
    </row>
    <row r="41" spans="1:19" x14ac:dyDescent="0.15">
      <c r="A41" s="1" t="s">
        <v>13</v>
      </c>
      <c r="B41" s="37">
        <v>2017</v>
      </c>
      <c r="C41" s="37"/>
      <c r="D41" s="37"/>
      <c r="E41" s="37">
        <v>2016</v>
      </c>
      <c r="F41" s="37"/>
      <c r="G41" s="37"/>
      <c r="H41" s="37">
        <v>2015</v>
      </c>
      <c r="I41" s="37"/>
      <c r="J41" s="37"/>
      <c r="K41" s="37">
        <v>2014</v>
      </c>
      <c r="L41" s="37"/>
      <c r="M41" s="37"/>
      <c r="N41" s="37">
        <v>2013</v>
      </c>
      <c r="O41" s="37"/>
      <c r="P41" s="37"/>
      <c r="Q41" s="37">
        <v>2012</v>
      </c>
      <c r="R41" s="37"/>
      <c r="S41" s="37"/>
    </row>
    <row r="42" spans="1:19" x14ac:dyDescent="0.15">
      <c r="A42" t="s">
        <v>12</v>
      </c>
      <c r="B42" t="s">
        <v>388</v>
      </c>
      <c r="C42" t="s">
        <v>389</v>
      </c>
      <c r="D42" t="s">
        <v>390</v>
      </c>
      <c r="E42" t="s">
        <v>388</v>
      </c>
      <c r="F42" t="s">
        <v>389</v>
      </c>
      <c r="G42" t="s">
        <v>390</v>
      </c>
      <c r="H42" t="s">
        <v>388</v>
      </c>
      <c r="I42" t="s">
        <v>389</v>
      </c>
      <c r="J42" t="s">
        <v>390</v>
      </c>
      <c r="K42" t="s">
        <v>388</v>
      </c>
      <c r="L42" t="s">
        <v>389</v>
      </c>
      <c r="M42" t="s">
        <v>390</v>
      </c>
      <c r="N42" t="s">
        <v>388</v>
      </c>
      <c r="O42" t="s">
        <v>389</v>
      </c>
      <c r="P42" t="s">
        <v>390</v>
      </c>
      <c r="Q42" t="s">
        <v>388</v>
      </c>
      <c r="R42" t="s">
        <v>389</v>
      </c>
      <c r="S42" t="s">
        <v>390</v>
      </c>
    </row>
    <row r="43" spans="1:19" x14ac:dyDescent="0.15">
      <c r="A43" t="s">
        <v>11</v>
      </c>
      <c r="B43">
        <f>0.69+0.11</f>
        <v>0.79999999999999993</v>
      </c>
      <c r="C43">
        <v>5.27</v>
      </c>
      <c r="D43">
        <v>2.1800000000000002</v>
      </c>
      <c r="E43">
        <v>0.48</v>
      </c>
      <c r="F43">
        <v>6.2</v>
      </c>
      <c r="G43">
        <v>2.09</v>
      </c>
      <c r="H43">
        <v>0.69</v>
      </c>
      <c r="I43">
        <v>8.5399999999999991</v>
      </c>
      <c r="J43">
        <v>2.27</v>
      </c>
      <c r="K43">
        <v>0.52</v>
      </c>
      <c r="L43">
        <v>11.3</v>
      </c>
      <c r="M43">
        <v>2.09</v>
      </c>
      <c r="O43">
        <v>13.37</v>
      </c>
      <c r="P43">
        <v>2.16</v>
      </c>
    </row>
    <row r="44" spans="1:19" x14ac:dyDescent="0.15">
      <c r="A44" t="s">
        <v>10</v>
      </c>
    </row>
    <row r="45" spans="1:19" x14ac:dyDescent="0.15">
      <c r="A45" t="s">
        <v>9</v>
      </c>
      <c r="B45" s="2"/>
      <c r="C45" s="2">
        <v>0.43269999999999997</v>
      </c>
      <c r="D45" s="2">
        <v>-0.15490000000000001</v>
      </c>
      <c r="E45" s="2"/>
      <c r="F45" s="2">
        <v>0.43080000000000002</v>
      </c>
      <c r="G45" s="2">
        <v>-0.13009999999999999</v>
      </c>
      <c r="H45" s="2"/>
      <c r="I45" s="2">
        <v>0.44409999999999999</v>
      </c>
      <c r="J45" s="2">
        <v>3.9100000000000003E-2</v>
      </c>
      <c r="K45" s="2"/>
      <c r="L45" s="2">
        <v>0.44840000000000002</v>
      </c>
      <c r="M45" s="2">
        <v>-1.35E-2</v>
      </c>
      <c r="O45" s="2">
        <v>0.42899999999999999</v>
      </c>
      <c r="P45" s="2">
        <v>9.1199999999999989E-2</v>
      </c>
    </row>
    <row r="46" spans="1:19" x14ac:dyDescent="0.15">
      <c r="A46" t="s">
        <v>8</v>
      </c>
    </row>
    <row r="47" spans="1:19" x14ac:dyDescent="0.15">
      <c r="A47" t="s">
        <v>7</v>
      </c>
    </row>
    <row r="48" spans="1:19" x14ac:dyDescent="0.15">
      <c r="A48" t="s">
        <v>6</v>
      </c>
    </row>
    <row r="49" spans="1:2" x14ac:dyDescent="0.15">
      <c r="A49" t="s">
        <v>5</v>
      </c>
    </row>
    <row r="50" spans="1:2" x14ac:dyDescent="0.15">
      <c r="A50" t="s">
        <v>4</v>
      </c>
    </row>
    <row r="51" spans="1:2" x14ac:dyDescent="0.15">
      <c r="A51" t="s">
        <v>3</v>
      </c>
    </row>
    <row r="52" spans="1:2" x14ac:dyDescent="0.15">
      <c r="A52" t="s">
        <v>2</v>
      </c>
    </row>
    <row r="53" spans="1:2" x14ac:dyDescent="0.15">
      <c r="A53" t="s">
        <v>1</v>
      </c>
    </row>
    <row r="54" spans="1:2" x14ac:dyDescent="0.15">
      <c r="A54" t="s">
        <v>0</v>
      </c>
    </row>
    <row r="56" spans="1:2" x14ac:dyDescent="0.15">
      <c r="A56" s="1" t="s">
        <v>424</v>
      </c>
      <c r="B56" s="2"/>
    </row>
    <row r="57" spans="1:2" x14ac:dyDescent="0.15">
      <c r="A57" t="s">
        <v>425</v>
      </c>
      <c r="B57" s="2"/>
    </row>
    <row r="58" spans="1:2" x14ac:dyDescent="0.15">
      <c r="A58" t="s">
        <v>426</v>
      </c>
      <c r="B58" s="2"/>
    </row>
    <row r="59" spans="1:2" x14ac:dyDescent="0.15">
      <c r="A59" t="s">
        <v>427</v>
      </c>
      <c r="B59" s="2"/>
    </row>
    <row r="60" spans="1:2" x14ac:dyDescent="0.15">
      <c r="A60" t="s">
        <v>428</v>
      </c>
      <c r="B60" s="2"/>
    </row>
    <row r="61" spans="1:2" x14ac:dyDescent="0.15">
      <c r="A61" t="s">
        <v>429</v>
      </c>
      <c r="B61" s="2"/>
    </row>
    <row r="62" spans="1:2" x14ac:dyDescent="0.15">
      <c r="A62" t="s">
        <v>430</v>
      </c>
      <c r="B62" s="2">
        <f>0.26/4.095</f>
        <v>6.3492063492063502E-2</v>
      </c>
    </row>
    <row r="63" spans="1:2" x14ac:dyDescent="0.15">
      <c r="A63" t="s">
        <v>431</v>
      </c>
      <c r="B63" s="2">
        <f>0.26/3.79</f>
        <v>6.860158311345646E-2</v>
      </c>
    </row>
    <row r="64" spans="1:2" x14ac:dyDescent="0.15">
      <c r="A64" t="s">
        <v>432</v>
      </c>
      <c r="B64" s="2"/>
    </row>
    <row r="65" spans="1:7" x14ac:dyDescent="0.15">
      <c r="A65" t="s">
        <v>433</v>
      </c>
      <c r="B65" s="26">
        <f>3.79/1.04</f>
        <v>3.6442307692307692</v>
      </c>
    </row>
    <row r="66" spans="1:7" x14ac:dyDescent="0.15">
      <c r="A66" t="s">
        <v>434</v>
      </c>
      <c r="B66" s="2"/>
    </row>
    <row r="67" spans="1:7" x14ac:dyDescent="0.15">
      <c r="A67" t="s">
        <v>435</v>
      </c>
      <c r="B67" s="2"/>
    </row>
    <row r="68" spans="1:7" x14ac:dyDescent="0.15">
      <c r="A68" t="s">
        <v>436</v>
      </c>
      <c r="B68" s="2"/>
    </row>
    <row r="69" spans="1:7" x14ac:dyDescent="0.15">
      <c r="A69" t="s">
        <v>437</v>
      </c>
      <c r="B69" s="2"/>
    </row>
    <row r="70" spans="1:7" x14ac:dyDescent="0.15">
      <c r="A70" t="s">
        <v>438</v>
      </c>
      <c r="B70" s="2"/>
    </row>
    <row r="71" spans="1:7" x14ac:dyDescent="0.15">
      <c r="A71" t="s">
        <v>439</v>
      </c>
      <c r="B71" s="2"/>
    </row>
    <row r="72" spans="1:7" x14ac:dyDescent="0.15">
      <c r="A72" t="s">
        <v>440</v>
      </c>
      <c r="B72" s="2"/>
    </row>
    <row r="73" spans="1:7" x14ac:dyDescent="0.15">
      <c r="A73" t="s">
        <v>441</v>
      </c>
      <c r="B73" s="2"/>
    </row>
    <row r="74" spans="1:7" x14ac:dyDescent="0.15">
      <c r="A74" t="s">
        <v>442</v>
      </c>
      <c r="B74" s="26">
        <f>39.49/11.61</f>
        <v>3.4013781223083552</v>
      </c>
    </row>
    <row r="75" spans="1:7" x14ac:dyDescent="0.15">
      <c r="A75" t="s">
        <v>443</v>
      </c>
      <c r="B75" s="2"/>
    </row>
    <row r="79" spans="1:7" x14ac:dyDescent="0.15">
      <c r="G79">
        <f>20.42-15.37-2.25</f>
        <v>2.8000000000000025</v>
      </c>
    </row>
  </sheetData>
  <mergeCells count="6">
    <mergeCell ref="Q41:S41"/>
    <mergeCell ref="B41:D41"/>
    <mergeCell ref="E41:G41"/>
    <mergeCell ref="H41:J41"/>
    <mergeCell ref="K41:M41"/>
    <mergeCell ref="N41:P41"/>
  </mergeCells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workbookViewId="0">
      <selection activeCell="B46" sqref="B46"/>
    </sheetView>
  </sheetViews>
  <sheetFormatPr defaultRowHeight="13.5" x14ac:dyDescent="0.15"/>
  <cols>
    <col min="1" max="1" width="17.625" customWidth="1"/>
    <col min="2" max="2" width="10.875" customWidth="1"/>
    <col min="3" max="4" width="11.375" customWidth="1"/>
    <col min="6" max="6" width="10.875" customWidth="1"/>
  </cols>
  <sheetData>
    <row r="1" spans="1:9" x14ac:dyDescent="0.15">
      <c r="A1" s="7" t="s">
        <v>74</v>
      </c>
      <c r="B1" s="7" t="s">
        <v>397</v>
      </c>
      <c r="C1" s="25" t="s">
        <v>347</v>
      </c>
      <c r="D1" s="7" t="s">
        <v>346</v>
      </c>
      <c r="E1" s="7" t="s">
        <v>399</v>
      </c>
      <c r="F1" s="7" t="s">
        <v>400</v>
      </c>
      <c r="G1" s="7" t="s">
        <v>401</v>
      </c>
      <c r="H1" s="7" t="s">
        <v>402</v>
      </c>
      <c r="I1" s="7" t="s">
        <v>403</v>
      </c>
    </row>
    <row r="2" spans="1:9" x14ac:dyDescent="0.15">
      <c r="A2">
        <v>2010</v>
      </c>
      <c r="B2">
        <v>0.31</v>
      </c>
      <c r="C2" s="26">
        <f>B2/D2</f>
        <v>4.3847241867043849E-2</v>
      </c>
      <c r="D2">
        <v>7.07</v>
      </c>
      <c r="F2">
        <v>10.35</v>
      </c>
      <c r="G2" s="8">
        <v>0.36</v>
      </c>
      <c r="H2" s="28">
        <f>G2/D2</f>
        <v>5.0919377652050915E-2</v>
      </c>
    </row>
    <row r="3" spans="1:9" x14ac:dyDescent="0.15">
      <c r="A3">
        <v>2011</v>
      </c>
      <c r="B3">
        <v>0.19</v>
      </c>
      <c r="C3" s="26">
        <f t="shared" ref="C3:C9" si="0">B3/D3</f>
        <v>2.6874115983026872E-2</v>
      </c>
      <c r="D3">
        <v>7.07</v>
      </c>
      <c r="F3">
        <v>10.35</v>
      </c>
      <c r="G3" s="8">
        <v>0.18</v>
      </c>
      <c r="H3" s="28">
        <f t="shared" ref="H3:H9" si="1">G3/D3</f>
        <v>2.5459688826025458E-2</v>
      </c>
    </row>
    <row r="4" spans="1:9" x14ac:dyDescent="0.15">
      <c r="A4">
        <v>2012</v>
      </c>
      <c r="B4">
        <v>0.15</v>
      </c>
      <c r="C4" s="26">
        <f t="shared" si="0"/>
        <v>2.1216407355021213E-2</v>
      </c>
      <c r="D4">
        <v>7.07</v>
      </c>
      <c r="F4">
        <v>10.35</v>
      </c>
      <c r="G4" s="8">
        <v>0.14000000000000001</v>
      </c>
      <c r="H4" s="28">
        <f t="shared" si="1"/>
        <v>1.9801980198019802E-2</v>
      </c>
    </row>
    <row r="5" spans="1:9" x14ac:dyDescent="0.15">
      <c r="A5">
        <v>2013</v>
      </c>
      <c r="B5">
        <v>0.12</v>
      </c>
      <c r="C5" s="26">
        <f t="shared" si="0"/>
        <v>1.6973125884016973E-2</v>
      </c>
      <c r="D5">
        <v>7.07</v>
      </c>
      <c r="F5">
        <v>10.35</v>
      </c>
      <c r="G5" s="8">
        <v>0.06</v>
      </c>
      <c r="H5" s="28">
        <f t="shared" si="1"/>
        <v>8.4865629420084864E-3</v>
      </c>
    </row>
    <row r="6" spans="1:9" x14ac:dyDescent="0.15">
      <c r="A6">
        <v>2014</v>
      </c>
      <c r="B6">
        <v>0.27</v>
      </c>
      <c r="C6" s="26">
        <f t="shared" si="0"/>
        <v>3.818953323903819E-2</v>
      </c>
      <c r="D6">
        <v>7.07</v>
      </c>
      <c r="F6">
        <v>10.35</v>
      </c>
      <c r="G6" s="8">
        <f>0.3*0.24</f>
        <v>7.1999999999999995E-2</v>
      </c>
      <c r="H6" s="28">
        <f t="shared" si="1"/>
        <v>1.0183875530410183E-2</v>
      </c>
    </row>
    <row r="7" spans="1:9" x14ac:dyDescent="0.15">
      <c r="A7">
        <v>2015</v>
      </c>
      <c r="B7">
        <v>0.75</v>
      </c>
      <c r="C7" s="26">
        <f t="shared" si="0"/>
        <v>0.10608203677510608</v>
      </c>
      <c r="D7">
        <v>7.07</v>
      </c>
      <c r="F7">
        <v>10.35</v>
      </c>
      <c r="G7" s="8">
        <f>0.48*0.3</f>
        <v>0.14399999999999999</v>
      </c>
      <c r="H7" s="28">
        <f t="shared" si="1"/>
        <v>2.0367751060820366E-2</v>
      </c>
    </row>
    <row r="8" spans="1:9" x14ac:dyDescent="0.15">
      <c r="A8">
        <v>2016</v>
      </c>
      <c r="B8">
        <v>0.78</v>
      </c>
      <c r="C8" s="26">
        <f t="shared" si="0"/>
        <v>0.11032531824611032</v>
      </c>
      <c r="D8">
        <v>7.07</v>
      </c>
      <c r="F8">
        <v>10.35</v>
      </c>
      <c r="G8" s="8">
        <f>0.7*0.15</f>
        <v>0.105</v>
      </c>
      <c r="H8" s="28">
        <f t="shared" si="1"/>
        <v>1.4851485148514851E-2</v>
      </c>
    </row>
    <row r="9" spans="1:9" x14ac:dyDescent="0.15">
      <c r="A9">
        <v>2017</v>
      </c>
      <c r="B9">
        <v>0.16</v>
      </c>
      <c r="C9" s="26">
        <f t="shared" si="0"/>
        <v>2.2630834512022632E-2</v>
      </c>
      <c r="D9">
        <v>7.07</v>
      </c>
      <c r="F9">
        <v>10.35</v>
      </c>
      <c r="G9" s="8">
        <v>0</v>
      </c>
      <c r="H9" s="28">
        <f t="shared" si="1"/>
        <v>0</v>
      </c>
    </row>
    <row r="10" spans="1:9" x14ac:dyDescent="0.15">
      <c r="A10" s="29" t="s">
        <v>398</v>
      </c>
      <c r="C10" s="26">
        <f>SUM(C2:C9)/8</f>
        <v>4.8267326732673262E-2</v>
      </c>
      <c r="E10" s="2">
        <f>C10/F2</f>
        <v>4.6635098292437931E-3</v>
      </c>
      <c r="G10">
        <f>SUM(G2:G9)/8</f>
        <v>0.13262499999999999</v>
      </c>
      <c r="H10">
        <f>SUM(H2:H9)/8</f>
        <v>1.8758840169731263E-2</v>
      </c>
      <c r="I10" s="2">
        <f>H10/F2</f>
        <v>1.8124483255778999E-3</v>
      </c>
    </row>
    <row r="12" spans="1:9" x14ac:dyDescent="0.15">
      <c r="A12" s="7" t="s">
        <v>154</v>
      </c>
      <c r="B12" s="7" t="s">
        <v>404</v>
      </c>
      <c r="C12" s="25" t="s">
        <v>405</v>
      </c>
    </row>
    <row r="13" spans="1:9" x14ac:dyDescent="0.15">
      <c r="A13" s="2">
        <f>(11.48-9.38)/9.38</f>
        <v>0.22388059701492533</v>
      </c>
      <c r="B13" s="2">
        <f>(7.66-5.7)/5.7</f>
        <v>0.34385964912280698</v>
      </c>
      <c r="C13" s="2">
        <f>(11.03-8.3)/8.3</f>
        <v>0.32891566265060224</v>
      </c>
    </row>
    <row r="15" spans="1:9" x14ac:dyDescent="0.15">
      <c r="A15" s="30" t="s">
        <v>406</v>
      </c>
      <c r="B15" s="31">
        <f>0.023/3.18</f>
        <v>7.2327044025157225E-3</v>
      </c>
    </row>
    <row r="16" spans="1:9" x14ac:dyDescent="0.15">
      <c r="A16" s="29" t="s">
        <v>407</v>
      </c>
      <c r="B16" s="2">
        <f>0.013/0.37</f>
        <v>3.5135135135135137E-2</v>
      </c>
    </row>
    <row r="17" spans="1:13" x14ac:dyDescent="0.15">
      <c r="A17" s="30" t="s">
        <v>408</v>
      </c>
      <c r="B17" s="31">
        <f>(0.0087-0.005)/1.56</f>
        <v>2.3717948717948711E-3</v>
      </c>
    </row>
    <row r="18" spans="1:13" x14ac:dyDescent="0.15">
      <c r="A18" s="29" t="s">
        <v>409</v>
      </c>
      <c r="B18" s="2">
        <f>0.21/1.36</f>
        <v>0.15441176470588233</v>
      </c>
    </row>
    <row r="19" spans="1:13" x14ac:dyDescent="0.15">
      <c r="A19" s="30" t="s">
        <v>410</v>
      </c>
      <c r="B19" s="31">
        <v>0</v>
      </c>
    </row>
    <row r="21" spans="1:13" x14ac:dyDescent="0.15">
      <c r="A21" s="32" t="s">
        <v>411</v>
      </c>
    </row>
    <row r="23" spans="1:13" x14ac:dyDescent="0.15">
      <c r="A23" s="1" t="s">
        <v>13</v>
      </c>
      <c r="B23" s="37">
        <v>2017</v>
      </c>
      <c r="C23" s="37"/>
      <c r="D23" s="37"/>
      <c r="E23" s="37"/>
      <c r="F23" s="37"/>
      <c r="G23" s="37"/>
      <c r="H23" s="37">
        <v>2016</v>
      </c>
      <c r="I23" s="37"/>
      <c r="J23" s="37"/>
      <c r="K23" s="37"/>
      <c r="L23" s="37"/>
      <c r="M23" s="37"/>
    </row>
    <row r="24" spans="1:13" x14ac:dyDescent="0.15">
      <c r="A24" t="s">
        <v>12</v>
      </c>
      <c r="B24" t="s">
        <v>412</v>
      </c>
      <c r="C24" t="s">
        <v>413</v>
      </c>
      <c r="D24" t="s">
        <v>414</v>
      </c>
      <c r="E24" t="s">
        <v>415</v>
      </c>
      <c r="F24" t="s">
        <v>416</v>
      </c>
      <c r="G24" t="s">
        <v>417</v>
      </c>
      <c r="H24" t="s">
        <v>412</v>
      </c>
      <c r="I24" t="s">
        <v>413</v>
      </c>
      <c r="J24" t="s">
        <v>414</v>
      </c>
      <c r="K24" t="s">
        <v>415</v>
      </c>
      <c r="L24" t="s">
        <v>416</v>
      </c>
      <c r="M24" t="s">
        <v>417</v>
      </c>
    </row>
    <row r="25" spans="1:13" x14ac:dyDescent="0.15">
      <c r="A25" t="s">
        <v>11</v>
      </c>
      <c r="B25">
        <f>0.47-0.31</f>
        <v>0.15999999999999998</v>
      </c>
      <c r="C25">
        <f>0.42-0.25</f>
        <v>0.16999999999999998</v>
      </c>
      <c r="D25">
        <f>4.47-3.35</f>
        <v>1.1199999999999997</v>
      </c>
      <c r="E25">
        <f>1.15-1.19</f>
        <v>-4.0000000000000036E-2</v>
      </c>
      <c r="F25">
        <f>0.73-0.19</f>
        <v>0.54</v>
      </c>
      <c r="G25">
        <f>4.18-2.35</f>
        <v>1.8299999999999996</v>
      </c>
      <c r="H25">
        <f>0.54-0.22</f>
        <v>0.32000000000000006</v>
      </c>
      <c r="I25">
        <f>1.7-1.16</f>
        <v>0.54</v>
      </c>
      <c r="J25">
        <f>3.98-2.91</f>
        <v>1.0699999999999998</v>
      </c>
      <c r="K25">
        <v>0</v>
      </c>
      <c r="L25">
        <f>0.54-0.06</f>
        <v>0.48000000000000004</v>
      </c>
      <c r="M25">
        <f>2.58-1.34</f>
        <v>1.24</v>
      </c>
    </row>
    <row r="26" spans="1:13" x14ac:dyDescent="0.15">
      <c r="A26" t="s">
        <v>10</v>
      </c>
    </row>
    <row r="27" spans="1:13" x14ac:dyDescent="0.15">
      <c r="A27" t="s">
        <v>9</v>
      </c>
    </row>
    <row r="28" spans="1:13" x14ac:dyDescent="0.15">
      <c r="A28" t="s">
        <v>8</v>
      </c>
    </row>
    <row r="29" spans="1:13" x14ac:dyDescent="0.15">
      <c r="A29" t="s">
        <v>7</v>
      </c>
    </row>
    <row r="30" spans="1:13" x14ac:dyDescent="0.15">
      <c r="A30" t="s">
        <v>6</v>
      </c>
      <c r="B30" s="26"/>
      <c r="C30" s="26"/>
      <c r="D30" s="26"/>
      <c r="E30" s="26"/>
      <c r="F30" s="26"/>
      <c r="G30" s="26"/>
    </row>
    <row r="31" spans="1:13" x14ac:dyDescent="0.15">
      <c r="A31" t="s">
        <v>5</v>
      </c>
    </row>
    <row r="32" spans="1:13" x14ac:dyDescent="0.15">
      <c r="A32" t="s">
        <v>4</v>
      </c>
    </row>
    <row r="33" spans="1:8" x14ac:dyDescent="0.15">
      <c r="A33" t="s">
        <v>3</v>
      </c>
    </row>
    <row r="34" spans="1:8" x14ac:dyDescent="0.15">
      <c r="A34" t="s">
        <v>2</v>
      </c>
    </row>
    <row r="35" spans="1:8" x14ac:dyDescent="0.15">
      <c r="A35" t="s">
        <v>1</v>
      </c>
    </row>
    <row r="36" spans="1:8" x14ac:dyDescent="0.15">
      <c r="A36" t="s">
        <v>0</v>
      </c>
    </row>
    <row r="37" spans="1:8" x14ac:dyDescent="0.15">
      <c r="B37" t="s">
        <v>412</v>
      </c>
      <c r="C37" t="s">
        <v>413</v>
      </c>
      <c r="D37" t="s">
        <v>414</v>
      </c>
      <c r="E37" t="s">
        <v>415</v>
      </c>
      <c r="F37" t="s">
        <v>416</v>
      </c>
      <c r="G37" t="s">
        <v>417</v>
      </c>
    </row>
    <row r="38" spans="1:8" x14ac:dyDescent="0.15">
      <c r="A38">
        <v>2017</v>
      </c>
      <c r="B38">
        <f>0.47-0.31</f>
        <v>0.15999999999999998</v>
      </c>
      <c r="C38">
        <f>0.42-0.25</f>
        <v>0.16999999999999998</v>
      </c>
      <c r="D38">
        <f>4.47-3.35</f>
        <v>1.1199999999999997</v>
      </c>
      <c r="E38">
        <f>1.15-1.19</f>
        <v>-4.0000000000000036E-2</v>
      </c>
      <c r="F38">
        <f>0.73-0.19</f>
        <v>0.54</v>
      </c>
      <c r="G38">
        <f>4.18-2.35</f>
        <v>1.8299999999999996</v>
      </c>
    </row>
    <row r="39" spans="1:8" x14ac:dyDescent="0.15">
      <c r="A39">
        <v>2016</v>
      </c>
      <c r="B39">
        <f>0.54-0.22</f>
        <v>0.32000000000000006</v>
      </c>
      <c r="C39">
        <f>1.7-1.16</f>
        <v>0.54</v>
      </c>
      <c r="D39">
        <f>3.98-2.91</f>
        <v>1.0699999999999998</v>
      </c>
      <c r="E39">
        <v>0</v>
      </c>
      <c r="F39">
        <f>0.54-0.06</f>
        <v>0.48000000000000004</v>
      </c>
      <c r="G39">
        <f>2.58-1.34</f>
        <v>1.24</v>
      </c>
    </row>
    <row r="40" spans="1:8" x14ac:dyDescent="0.15">
      <c r="A40">
        <v>2015</v>
      </c>
      <c r="B40">
        <f>0.7-0.3</f>
        <v>0.39999999999999997</v>
      </c>
      <c r="C40">
        <f>0.82-0.62</f>
        <v>0.19999999999999996</v>
      </c>
      <c r="D40">
        <f>2.95-1.81</f>
        <v>1.1400000000000001</v>
      </c>
      <c r="E40">
        <v>0</v>
      </c>
      <c r="F40">
        <f>0.55-0.11</f>
        <v>0.44000000000000006</v>
      </c>
      <c r="G40">
        <f>1.15-0.63</f>
        <v>0.51999999999999991</v>
      </c>
    </row>
    <row r="41" spans="1:8" x14ac:dyDescent="0.15">
      <c r="A41">
        <v>2014</v>
      </c>
      <c r="B41">
        <f>0.78-0.44</f>
        <v>0.34</v>
      </c>
      <c r="C41">
        <f>0.29-0.07</f>
        <v>0.21999999999999997</v>
      </c>
      <c r="D41">
        <f>0.54-0.23</f>
        <v>0.31000000000000005</v>
      </c>
      <c r="E41">
        <v>0</v>
      </c>
      <c r="F41">
        <f>0.19-0.16</f>
        <v>0.03</v>
      </c>
      <c r="G41">
        <f>0.08-0.04</f>
        <v>0.04</v>
      </c>
    </row>
    <row r="42" spans="1:8" x14ac:dyDescent="0.15">
      <c r="A42">
        <v>2013</v>
      </c>
      <c r="B42">
        <f>0.82-0.33</f>
        <v>0.48999999999999994</v>
      </c>
      <c r="C42">
        <f>0.26-0.17</f>
        <v>0.09</v>
      </c>
      <c r="D42">
        <f>SUM(D38:D40)/3</f>
        <v>1.1099999999999999</v>
      </c>
      <c r="H42" t="s">
        <v>420</v>
      </c>
    </row>
    <row r="43" spans="1:8" x14ac:dyDescent="0.15">
      <c r="A43">
        <v>2012</v>
      </c>
      <c r="B43">
        <f>0.79-0.34</f>
        <v>0.45</v>
      </c>
      <c r="C43">
        <f>0.19-0.17</f>
        <v>1.999999999999999E-2</v>
      </c>
    </row>
    <row r="44" spans="1:8" x14ac:dyDescent="0.15">
      <c r="A44">
        <v>2011</v>
      </c>
      <c r="B44">
        <f>0.63-0.18</f>
        <v>0.45</v>
      </c>
      <c r="C44">
        <f>0.32-0.24</f>
        <v>8.0000000000000016E-2</v>
      </c>
    </row>
    <row r="45" spans="1:8" x14ac:dyDescent="0.15">
      <c r="A45" t="s">
        <v>418</v>
      </c>
      <c r="B45" s="26">
        <f>SUM(B38:B44)/7</f>
        <v>0.37285714285714289</v>
      </c>
      <c r="C45" s="26">
        <f>SUM(C38:C44)/7</f>
        <v>0.18857142857142858</v>
      </c>
    </row>
    <row r="46" spans="1:8" x14ac:dyDescent="0.15">
      <c r="A46" t="s">
        <v>419</v>
      </c>
      <c r="B46" s="26">
        <f>B45/7.07</f>
        <v>5.2737926853909885E-2</v>
      </c>
      <c r="C46" s="26">
        <f>C45/7.07</f>
        <v>2.6672054960598102E-2</v>
      </c>
      <c r="D46" s="26">
        <f>D42/7.07</f>
        <v>0.15700141442715698</v>
      </c>
      <c r="E46" s="26"/>
      <c r="F46" s="26">
        <f>F38/7.07</f>
        <v>7.6379066478076379E-2</v>
      </c>
      <c r="G46" s="26">
        <f>G38/7.07</f>
        <v>0.25884016973125878</v>
      </c>
    </row>
    <row r="47" spans="1:8" x14ac:dyDescent="0.15">
      <c r="A47" t="s">
        <v>421</v>
      </c>
      <c r="B47">
        <v>10</v>
      </c>
      <c r="C47">
        <v>10</v>
      </c>
      <c r="D47">
        <v>20</v>
      </c>
      <c r="F47">
        <v>20</v>
      </c>
      <c r="G47">
        <v>20</v>
      </c>
    </row>
    <row r="48" spans="1:8" x14ac:dyDescent="0.15">
      <c r="A48" t="s">
        <v>422</v>
      </c>
      <c r="B48" s="26">
        <f>B46*B47</f>
        <v>0.52737926853909889</v>
      </c>
      <c r="C48" s="26">
        <f t="shared" ref="C48:G48" si="2">C46*C47</f>
        <v>0.26672054960598102</v>
      </c>
      <c r="D48" s="26">
        <f t="shared" si="2"/>
        <v>3.1400282885431396</v>
      </c>
      <c r="E48" s="26">
        <f t="shared" si="2"/>
        <v>0</v>
      </c>
      <c r="F48" s="26">
        <f t="shared" si="2"/>
        <v>1.5275813295615275</v>
      </c>
      <c r="G48" s="26">
        <f t="shared" si="2"/>
        <v>5.1768033946251757</v>
      </c>
    </row>
    <row r="49" spans="1:2" x14ac:dyDescent="0.15">
      <c r="A49" s="5" t="s">
        <v>423</v>
      </c>
      <c r="B49" s="33">
        <f>SUM(B48:G48)</f>
        <v>10.638512830874923</v>
      </c>
    </row>
  </sheetData>
  <mergeCells count="2">
    <mergeCell ref="B23:G23"/>
    <mergeCell ref="H23:M23"/>
  </mergeCells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/>
  </sheetViews>
  <sheetFormatPr defaultRowHeight="13.5" x14ac:dyDescent="0.15"/>
  <cols>
    <col min="1" max="1" width="17.875" customWidth="1"/>
  </cols>
  <sheetData>
    <row r="1" spans="1:2" x14ac:dyDescent="0.15">
      <c r="A1" s="34" t="s">
        <v>447</v>
      </c>
      <c r="B1">
        <v>33</v>
      </c>
    </row>
  </sheetData>
  <phoneticPr fontId="1" type="noConversion"/>
  <hyperlinks>
    <hyperlink ref="A1" r:id="rId1"/>
  </hyperlinks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芯片</vt:lpstr>
      <vt:lpstr>家具制造</vt:lpstr>
      <vt:lpstr>中科创达</vt:lpstr>
      <vt:lpstr>三超新材</vt:lpstr>
      <vt:lpstr>全志科技</vt:lpstr>
      <vt:lpstr>宁波精达</vt:lpstr>
      <vt:lpstr>天目药业</vt:lpstr>
      <vt:lpstr>森霸传感</vt:lpstr>
      <vt:lpstr>勤上股份</vt:lpstr>
      <vt:lpstr>华懋科技</vt:lpstr>
      <vt:lpstr>拉芳家化</vt:lpstr>
      <vt:lpstr>方大炭素</vt:lpstr>
      <vt:lpstr>四川成渝</vt:lpstr>
      <vt:lpstr>大东方</vt:lpstr>
      <vt:lpstr>临时性</vt:lpstr>
      <vt:lpstr>粤传媒</vt:lpstr>
      <vt:lpstr>银之杰</vt:lpstr>
      <vt:lpstr>新的股票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2018-09-19T04:26:53Z</dcterms:modified>
</cp:coreProperties>
</file>