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 activeTab="1"/>
  </bookViews>
  <sheets>
    <sheet name="比率分析" sheetId="1" r:id="rId1"/>
    <sheet name="永安药业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69" i="2"/>
  <c r="D70" i="2"/>
  <c r="D63" i="2"/>
  <c r="C51" i="2"/>
  <c r="D35" i="2"/>
  <c r="D24" i="2" l="1"/>
  <c r="D25" i="2" s="1"/>
  <c r="D28" i="2" s="1"/>
  <c r="G12" i="2"/>
  <c r="G13" i="2"/>
  <c r="G15" i="2"/>
  <c r="D19" i="2"/>
  <c r="E19" i="2"/>
  <c r="F19" i="2"/>
  <c r="C19" i="2"/>
  <c r="D18" i="2"/>
  <c r="E18" i="2"/>
  <c r="F18" i="2"/>
  <c r="D30" i="2" l="1"/>
  <c r="H2" i="2"/>
  <c r="G2" i="2"/>
  <c r="D2" i="2"/>
  <c r="C70" i="2"/>
  <c r="C69" i="2"/>
  <c r="C68" i="2"/>
  <c r="C63" i="2"/>
  <c r="C52" i="2"/>
  <c r="C49" i="2"/>
  <c r="C18" i="2"/>
  <c r="C54" i="2" l="1"/>
  <c r="C40" i="2"/>
  <c r="C42" i="2" s="1"/>
  <c r="P7" i="1" l="1"/>
  <c r="P6" i="1"/>
  <c r="P5" i="1"/>
  <c r="P4" i="1"/>
  <c r="P3" i="1"/>
  <c r="M7" i="1" l="1"/>
  <c r="M6" i="1"/>
  <c r="M5" i="1"/>
  <c r="M4" i="1"/>
  <c r="M3" i="1"/>
  <c r="J7" i="1"/>
  <c r="J3" i="1"/>
  <c r="J4" i="1"/>
  <c r="J5" i="1"/>
  <c r="J6" i="1"/>
  <c r="D3" i="1"/>
  <c r="C3" i="1"/>
  <c r="B3" i="1"/>
</calcChain>
</file>

<file path=xl/sharedStrings.xml><?xml version="1.0" encoding="utf-8"?>
<sst xmlns="http://schemas.openxmlformats.org/spreadsheetml/2006/main" count="72" uniqueCount="68">
  <si>
    <t>永安药业</t>
    <phoneticPr fontId="1" type="noConversion"/>
  </si>
  <si>
    <t>利润率</t>
    <phoneticPr fontId="1" type="noConversion"/>
  </si>
  <si>
    <t>股票</t>
    <phoneticPr fontId="1" type="noConversion"/>
  </si>
  <si>
    <t>净资产收益率ROE</t>
    <phoneticPr fontId="1" type="noConversion"/>
  </si>
  <si>
    <t>资产回报率ROA</t>
    <phoneticPr fontId="1" type="noConversion"/>
  </si>
  <si>
    <t>毛利润</t>
    <phoneticPr fontId="1" type="noConversion"/>
  </si>
  <si>
    <t>市盈率（PE）</t>
    <phoneticPr fontId="1" type="noConversion"/>
  </si>
  <si>
    <t>时间</t>
    <phoneticPr fontId="1" type="noConversion"/>
  </si>
  <si>
    <t>每股收益</t>
    <phoneticPr fontId="1" type="noConversion"/>
  </si>
  <si>
    <t>每股收益检测</t>
    <phoneticPr fontId="1" type="noConversion"/>
  </si>
  <si>
    <t>报告期净收益</t>
    <phoneticPr fontId="1" type="noConversion"/>
  </si>
  <si>
    <t>净利润</t>
    <phoneticPr fontId="1" type="noConversion"/>
  </si>
  <si>
    <t>每股收益</t>
    <phoneticPr fontId="1" type="noConversion"/>
  </si>
  <si>
    <t>调整后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</si>
  <si>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</si>
  <si>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</si>
  <si>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2012-2017年报告的净收益总额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</si>
  <si>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</si>
  <si>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</si>
  <si>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盈余公积（2012-12-31）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</si>
  <si>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</si>
  <si>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</si>
  <si>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平均值</t>
    <phoneticPr fontId="1" type="noConversion"/>
  </si>
  <si>
    <t>营运资金比较</t>
    <phoneticPr fontId="1" type="noConversion"/>
  </si>
  <si>
    <t>营运资金净值(2012-12-31)</t>
    <phoneticPr fontId="1" type="noConversion"/>
  </si>
  <si>
    <t>真实收益</t>
    <phoneticPr fontId="1" type="noConversion"/>
  </si>
  <si>
    <t>营运资金净值(2017-12-31)</t>
    <phoneticPr fontId="1" type="noConversion"/>
  </si>
  <si>
    <t>损益表所示收益</t>
    <phoneticPr fontId="1" type="noConversion"/>
  </si>
  <si>
    <t>6年增加</t>
    <phoneticPr fontId="1" type="noConversion"/>
  </si>
  <si>
    <t>盈余调整总额</t>
    <phoneticPr fontId="1" type="noConversion"/>
  </si>
  <si>
    <t>加股本收入</t>
    <phoneticPr fontId="1" type="noConversion"/>
  </si>
  <si>
    <t>更正后总收益</t>
    <phoneticPr fontId="1" type="noConversion"/>
  </si>
  <si>
    <t>实际增加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</si>
  <si>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</si>
  <si>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</si>
  <si>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</si>
  <si>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</si>
  <si>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</si>
  <si>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</si>
  <si>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</si>
  <si>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</si>
  <si>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</si>
  <si>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</si>
  <si>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</si>
  <si>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</si>
  <si>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</si>
  <si>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</si>
  <si>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</si>
  <si>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</si>
  <si>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</si>
  <si>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</si>
  <si>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</si>
  <si>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6年真实每股收益</t>
    <phoneticPr fontId="1" type="noConversion"/>
  </si>
  <si>
    <t>平均每股收益</t>
    <phoneticPr fontId="1" type="noConversion"/>
  </si>
  <si>
    <t>行业平均PE</t>
    <phoneticPr fontId="1" type="noConversion"/>
  </si>
  <si>
    <t>资产负债表内在价值</t>
    <phoneticPr fontId="1" type="noConversion"/>
  </si>
  <si>
    <t>公司</t>
    <phoneticPr fontId="1" type="noConversion"/>
  </si>
  <si>
    <t>PE</t>
    <phoneticPr fontId="1" type="noConversion"/>
  </si>
  <si>
    <t>人福医药</t>
    <phoneticPr fontId="1" type="noConversion"/>
  </si>
  <si>
    <t>恒瑞医药</t>
    <phoneticPr fontId="1" type="noConversion"/>
  </si>
  <si>
    <t>科伦医药</t>
    <phoneticPr fontId="1" type="noConversion"/>
  </si>
  <si>
    <t>昂立康</t>
    <phoneticPr fontId="1" type="noConversion"/>
  </si>
  <si>
    <t>金达威</t>
    <phoneticPr fontId="1" type="noConversion"/>
  </si>
  <si>
    <t>信立泰</t>
    <phoneticPr fontId="1" type="noConversion"/>
  </si>
  <si>
    <t>6年总计</t>
    <phoneticPr fontId="1" type="noConversion"/>
  </si>
  <si>
    <t>现金股息</t>
    <phoneticPr fontId="1" type="noConversion"/>
  </si>
  <si>
    <t>对上表中差额的解释（盈余表）</t>
    <phoneticPr fontId="1" type="noConversion"/>
  </si>
  <si>
    <t>可能是存货减值或者资产减值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</si>
</sst>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_);[Red]\(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0" fontId="5" fillId="0" borderId="0" xfId="0" applyFont="1"/>
    <xf numFmtId="177" fontId="4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87726106360311"/>
          <c:y val="0.25441977056238763"/>
          <c:w val="0.81176955097069736"/>
          <c:h val="0.53435725028753434"/>
        </c:manualLayout>
      </c:layout>
      <c:lineChart>
        <c:grouping val="standard"/>
        <c:varyColors val="0"/>
        <c:ser>
          <c:idx val="0"/>
          <c:order val="0"/>
          <c:tx>
            <c:strRef>
              <c:f>比率分析!$B$5</c:f>
              <c:strCache>
                <c:ptCount val="1"/>
                <c:pt idx="0">
                  <c:v>利润率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比率分析!$A$6:$A$9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比率分析!$B$6:$B$9</c:f>
              <c:numCache>
                <c:formatCode>0.00%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1C-4373-937D-40DF0E606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5217192"/>
        <c:axId val="154397032"/>
      </c:lineChart>
      <c:catAx>
        <c:axId val="3452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97032"/>
        <c:crosses val="autoZero"/>
        <c:auto val="1"/>
        <c:lblAlgn val="ctr"/>
        <c:lblOffset val="100"/>
        <c:noMultiLvlLbl val="0"/>
      </c:catAx>
      <c:valAx>
        <c:axId val="1543970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17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比率分析!$J$2</c:f>
              <c:strCache>
                <c:ptCount val="1"/>
                <c:pt idx="0">
                  <c:v>净资产收益率ROE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比率分析!$I$3:$I$7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比率分析!$J$3:$J$7</c:f>
              <c:numCache>
                <c:formatCode>0.00%</c:formatCode>
                <c:ptCount val="5"/>
                <c:pt idx="0">
                  <c:v>2.1296296296296296E-2</c:v>
                </c:pt>
                <c:pt idx="1">
                  <c:v>2.8828828828828829E-2</c:v>
                </c:pt>
                <c:pt idx="2">
                  <c:v>1.517857142857143E-2</c:v>
                </c:pt>
                <c:pt idx="3">
                  <c:v>5.2676295666949875E-2</c:v>
                </c:pt>
                <c:pt idx="4">
                  <c:v>9.8884758364312278E-2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7-42DA-B7F1-63D9AA3D09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188784"/>
        <c:axId val="345559200"/>
      </c:lineChart>
      <c:catAx>
        <c:axId val="34618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59200"/>
        <c:crosses val="autoZero"/>
        <c:auto val="1"/>
        <c:lblAlgn val="ctr"/>
        <c:lblOffset val="100"/>
        <c:noMultiLvlLbl val="0"/>
      </c:catAx>
      <c:valAx>
        <c:axId val="345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1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比率分析!$M$2</c:f>
              <c:strCache>
                <c:ptCount val="1"/>
                <c:pt idx="0">
                  <c:v>资产回报率ROA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比率分析!$L$3:$L$7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比率分析!$M$3:$M$7</c:f>
              <c:numCache>
                <c:formatCode>0.00%</c:formatCode>
                <c:ptCount val="5"/>
                <c:pt idx="0">
                  <c:v>1.913477537437604E-2</c:v>
                </c:pt>
                <c:pt idx="1">
                  <c:v>2.6958719460825613E-2</c:v>
                </c:pt>
                <c:pt idx="2">
                  <c:v>1.4131338320864507E-2</c:v>
                </c:pt>
                <c:pt idx="3">
                  <c:v>4.8703849175176749E-2</c:v>
                </c:pt>
                <c:pt idx="4">
                  <c:v>8.4177215189873422E-2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A-475B-A94B-84F02A2EA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66712"/>
        <c:axId val="346237536"/>
      </c:lineChart>
      <c:catAx>
        <c:axId val="3454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237536"/>
        <c:crosses val="autoZero"/>
        <c:auto val="1"/>
        <c:lblAlgn val="ctr"/>
        <c:lblOffset val="100"/>
        <c:noMultiLvlLbl val="0"/>
      </c:catAx>
      <c:valAx>
        <c:axId val="3462375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46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比率分析!$P$2</c:f>
              <c:strCache>
                <c:ptCount val="1"/>
                <c:pt idx="0">
                  <c:v>毛利润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比率分析!$O$3:$O$7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比率分析!$P$3:$P$7</c:f>
              <c:numCache>
                <c:formatCode>0.00%</c:formatCode>
                <c:ptCount val="5"/>
                <c:pt idx="0">
                  <c:v>0.16252390057361385</c:v>
                </c:pt>
                <c:pt idx="1">
                  <c:v>0.15349544072948326</c:v>
                </c:pt>
                <c:pt idx="2">
                  <c:v>0.17805755395683442</c:v>
                </c:pt>
                <c:pt idx="3">
                  <c:v>0.25818181818181818</c:v>
                </c:pt>
                <c:pt idx="4">
                  <c:v>0.36548767416934619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839-AF85-1D4DBAA6C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6350136"/>
        <c:axId val="344016112"/>
      </c:lineChart>
      <c:catAx>
        <c:axId val="3463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16112"/>
        <c:crosses val="autoZero"/>
        <c:auto val="1"/>
        <c:lblAlgn val="ctr"/>
        <c:lblOffset val="100"/>
        <c:noMultiLvlLbl val="0"/>
      </c:catAx>
      <c:valAx>
        <c:axId val="3440161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350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</xdr:row>
      <xdr:rowOff>104775</xdr:rowOff>
    </xdr:from>
    <xdr:to>
      <xdr:col>3</xdr:col>
      <xdr:colOff>676275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901F0A1F-FB12-4CCB-AA88-5C86371D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10</xdr:row>
      <xdr:rowOff>9526</xdr:rowOff>
    </xdr:from>
    <xdr:to>
      <xdr:col>10</xdr:col>
      <xdr:colOff>85726</xdr:colOff>
      <xdr:row>17</xdr:row>
      <xdr:rowOff>57151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D24F42A7-88D1-4FC5-B78F-C24B35C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10</xdr:row>
      <xdr:rowOff>9526</xdr:rowOff>
    </xdr:from>
    <xdr:to>
      <xdr:col>13</xdr:col>
      <xdr:colOff>685799</xdr:colOff>
      <xdr:row>16</xdr:row>
      <xdr:rowOff>161926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3659864E-E22C-4AEB-994C-C63C03A1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671512</xdr:colOff>
      <xdr:row>17</xdr:row>
      <xdr:rowOff>123825</xdr:rowOff>
    </xdr:from>
    <xdr:to>
      <xdr:col>13</xdr:col>
      <xdr:colOff>657225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68A4D9-1B6B-4817-AB75-CEE4C2E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10" sqref="F10"/>
    </sheetView>
  </sheetViews>
  <sheetFormatPr defaultRowHeight="13.5"/>
  <cols>
    <col min="7" max="7" width="16.25" customWidth="1"/>
    <col min="10" max="10" width="20.125" style="4" customWidth="1"/>
    <col min="13" max="13" width="15.375" style="4" customWidth="1"/>
    <col min="16" max="16" width="12.125" style="4" customWidth="1"/>
  </cols>
  <sheetData>
    <row r="1" spans="1:16">
      <c r="A1" t="s">
        <v>0</v>
      </c>
      <c r="B1" s="1"/>
    </row>
    <row r="2" spans="1:16" s="2" customFormat="1">
      <c r="A2" s="2" t="s">
        <v>2</v>
      </c>
      <c r="B2" s="2">
        <v>2014</v>
      </c>
      <c r="C2" s="2">
        <v>2015</v>
      </c>
      <c r="D2" s="2">
        <v>2016</v>
      </c>
      <c r="E2" s="2">
        <v>2017</v>
      </c>
      <c r="J2" s="3" t="s">
        <v>3</v>
      </c>
      <c r="M2" s="3" t="s">
        <v>4</v>
      </c>
      <c r="P2" s="3" t="s">
        <v>5</v>
      </c>
    </row>
    <row r="3" spans="1:16">
      <c r="A3" t="s">
        <v>0</v>
      </c>
      <c r="B3" s="1">
        <f>0.32/6.58</f>
        <v>4.8632218844984802E-2</v>
      </c>
      <c r="C3" s="1">
        <f>0.18/5.56</f>
        <v>3.237410071942446E-2</v>
      </c>
      <c r="D3" s="1">
        <f>0.62/5.49</f>
        <v>0.11293260473588342</v>
      </c>
      <c r="E3" s="1">
        <v>0.14000000000000001</v>
      </c>
      <c r="I3">
        <v>2013</v>
      </c>
      <c r="J3" s="4">
        <f>0.23/10.8</f>
        <v>2.1296296296296296E-2</v>
      </c>
      <c r="L3">
        <v>2013</v>
      </c>
      <c r="M3" s="4">
        <f>0.23/12.02</f>
        <v>1.913477537437604E-2</v>
      </c>
      <c r="O3">
        <v>2013</v>
      </c>
      <c r="P3" s="4">
        <f>(5.23-4.38)/5.23</f>
        <v>0.16252390057361385</v>
      </c>
    </row>
    <row r="4" spans="1:16">
      <c r="B4" s="1"/>
      <c r="I4">
        <v>2014</v>
      </c>
      <c r="J4" s="4">
        <f>0.32/11.1</f>
        <v>2.8828828828828829E-2</v>
      </c>
      <c r="L4">
        <v>2014</v>
      </c>
      <c r="M4" s="4">
        <f>0.32/11.87</f>
        <v>2.6958719460825613E-2</v>
      </c>
      <c r="O4">
        <v>2014</v>
      </c>
      <c r="P4" s="4">
        <f>(6.58-5.57)/6.58</f>
        <v>0.15349544072948326</v>
      </c>
    </row>
    <row r="5" spans="1:16">
      <c r="B5" s="4" t="s">
        <v>1</v>
      </c>
      <c r="I5">
        <v>2015</v>
      </c>
      <c r="J5" s="4">
        <f>0.17/11.2</f>
        <v>1.517857142857143E-2</v>
      </c>
      <c r="L5">
        <v>2015</v>
      </c>
      <c r="M5" s="4">
        <f>0.17/12.03</f>
        <v>1.4131338320864507E-2</v>
      </c>
      <c r="O5">
        <v>2015</v>
      </c>
      <c r="P5" s="4">
        <f>(5.56-4.57)/5.56</f>
        <v>0.17805755395683442</v>
      </c>
    </row>
    <row r="6" spans="1:16">
      <c r="A6">
        <v>2014</v>
      </c>
      <c r="B6" s="4">
        <v>0.05</v>
      </c>
      <c r="I6">
        <v>2016</v>
      </c>
      <c r="J6" s="4">
        <f>0.62/11.77</f>
        <v>5.2676295666949875E-2</v>
      </c>
      <c r="L6">
        <v>2016</v>
      </c>
      <c r="M6" s="4">
        <f>0.62/12.73</f>
        <v>4.8703849175176749E-2</v>
      </c>
      <c r="O6">
        <v>2016</v>
      </c>
      <c r="P6" s="4">
        <f>(5.5-4.08)/5.5</f>
        <v>0.25818181818181818</v>
      </c>
    </row>
    <row r="7" spans="1:16">
      <c r="A7">
        <v>2015</v>
      </c>
      <c r="B7" s="4">
        <v>0.03</v>
      </c>
      <c r="I7">
        <v>2017</v>
      </c>
      <c r="J7" s="4">
        <f>1.33/13.45</f>
        <v>9.8884758364312278E-2</v>
      </c>
      <c r="L7">
        <v>2017</v>
      </c>
      <c r="M7" s="4">
        <f>1.33/15.8</f>
        <v>8.4177215189873422E-2</v>
      </c>
      <c r="O7">
        <v>2017</v>
      </c>
      <c r="P7" s="4">
        <f>(9.33-5.92)/9.33</f>
        <v>0.36548767416934619</v>
      </c>
    </row>
    <row r="8" spans="1:16">
      <c r="A8">
        <v>2016</v>
      </c>
      <c r="B8" s="4">
        <v>0.11</v>
      </c>
    </row>
    <row r="9" spans="1:16">
      <c r="A9">
        <v>2017</v>
      </c>
      <c r="B9" s="4">
        <v>0.14000000000000001</v>
      </c>
    </row>
    <row r="10" spans="1:16">
      <c r="B10" s="1"/>
    </row>
    <row r="20" spans="6:7">
      <c r="G20" s="5" t="s">
        <v>6</v>
      </c>
    </row>
    <row r="21" spans="6:7">
      <c r="F21">
        <v>2013</v>
      </c>
      <c r="G21">
        <v>5.23</v>
      </c>
    </row>
    <row r="22" spans="6:7">
      <c r="F22">
        <v>2014</v>
      </c>
      <c r="G22">
        <v>6.58</v>
      </c>
    </row>
    <row r="23" spans="6:7">
      <c r="F23">
        <v>2015</v>
      </c>
      <c r="G23">
        <v>5.56</v>
      </c>
    </row>
    <row r="24" spans="6:7">
      <c r="F24">
        <v>2016</v>
      </c>
      <c r="G24">
        <v>5.49</v>
      </c>
    </row>
    <row r="25" spans="6:7">
      <c r="F25">
        <v>2017</v>
      </c>
      <c r="G25">
        <v>9.33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37" workbookViewId="0">
      <selection activeCell="C68" sqref="C68:D70"/>
    </sheetView>
  </sheetViews>
  <sheetFormatPr defaultRowHeight="13.5"/>
  <cols>
    <col min="1" max="1" width="37.25" style="13" customWidth="1"/>
    <col min="2" max="2" width="26.75" customWidth="1"/>
    <col min="3" max="3" width="35" customWidth="1"/>
    <col min="4" max="4" width="14.5" customWidth="1"/>
    <col min="5" max="5" width="12.125" customWidth="1"/>
    <col min="6" max="6" width="10.5" customWidth="1"/>
    <col min="7" max="7" width="11.75" customWidth="1"/>
    <col min="8" max="8" width="17.25" customWidth="1"/>
    <col min="9" max="9" width="30.5" customWidth="1"/>
    <col min="11" max="11" width="17.625" customWidth="1"/>
  </cols>
  <sheetData>
    <row r="1" spans="1:12">
      <c r="A1" s="15" t="s">
        <v>52</v>
      </c>
      <c r="B1" s="12" t="s">
        <v>7</v>
      </c>
      <c r="C1" s="12" t="s">
        <v>8</v>
      </c>
      <c r="D1" s="12" t="s">
        <v>53</v>
      </c>
      <c r="E1" s="12" t="s">
        <v>56</v>
      </c>
      <c r="F1" s="12" t="s">
        <v>57</v>
      </c>
      <c r="G1" s="12" t="s">
        <v>54</v>
      </c>
      <c r="H1" s="12" t="s">
        <v>55</v>
      </c>
    </row>
    <row r="2" spans="1:12">
      <c r="B2" s="9">
        <v>2012</v>
      </c>
      <c r="C2" s="11">
        <v>0.36284516163278308</v>
      </c>
      <c r="D2" s="11">
        <f>SUM(C2:C7)/6</f>
        <v>0.23397874836197841</v>
      </c>
      <c r="E2" t="s">
        <v>58</v>
      </c>
      <c r="F2">
        <v>18.21</v>
      </c>
      <c r="G2" s="11">
        <f>SUM(F2:F7)/6</f>
        <v>24.236666666666665</v>
      </c>
      <c r="H2" s="11">
        <f>D2*G2</f>
        <v>5.6708649311331492</v>
      </c>
    </row>
    <row r="3" spans="1:12">
      <c r="B3" s="9">
        <v>2013</v>
      </c>
      <c r="C3" s="11">
        <v>6.0836107899472316E-2</v>
      </c>
      <c r="E3" t="s">
        <v>59</v>
      </c>
      <c r="F3">
        <v>58.05</v>
      </c>
    </row>
    <row r="4" spans="1:12">
      <c r="B4" s="9">
        <v>2014</v>
      </c>
      <c r="C4" s="11">
        <v>9.5889232495752208E-2</v>
      </c>
      <c r="E4" t="s">
        <v>60</v>
      </c>
      <c r="F4">
        <v>23.91</v>
      </c>
    </row>
    <row r="5" spans="1:12">
      <c r="B5" s="9">
        <v>2015</v>
      </c>
      <c r="C5" s="14">
        <v>-1.4844486333647502E-3</v>
      </c>
      <c r="E5" s="9" t="s">
        <v>61</v>
      </c>
      <c r="F5">
        <v>19.72</v>
      </c>
    </row>
    <row r="6" spans="1:12">
      <c r="B6" s="9">
        <v>2016</v>
      </c>
      <c r="C6" s="11">
        <v>0.21558195418720003</v>
      </c>
      <c r="E6" t="s">
        <v>62</v>
      </c>
      <c r="F6">
        <v>9.6</v>
      </c>
    </row>
    <row r="7" spans="1:12">
      <c r="B7" s="9">
        <v>2017</v>
      </c>
      <c r="C7" s="11">
        <v>0.67020448259002763</v>
      </c>
      <c r="E7" t="s">
        <v>63</v>
      </c>
      <c r="F7">
        <v>15.93</v>
      </c>
    </row>
    <row r="8" spans="1:12" s="9" customFormat="1">
      <c r="A8" s="13"/>
      <c r="B8" s="11"/>
    </row>
    <row r="9" spans="1:12">
      <c r="A9" s="15" t="s">
        <v>9</v>
      </c>
    </row>
    <row r="10" spans="1:12">
      <c r="A10" s="16">
        <v>1</v>
      </c>
      <c r="B10" s="5"/>
      <c r="G10" s="5"/>
      <c r="H10" s="5"/>
      <c r="K10" s="5"/>
      <c r="L10" s="5"/>
    </row>
    <row r="11" spans="1:12">
      <c r="A11" s="16"/>
      <c r="B11" s="5" t="s">
        <v>10</v>
      </c>
      <c r="C11" t="s">
        <v>11</v>
      </c>
      <c r="D11" t="s">
        <v>12</v>
      </c>
      <c r="E11" t="s">
        <v>13</v>
      </c>
      <c r="F11" t="s">
        <v>14</v>
      </c>
      <c r="G11" s="5" t="s">
        <v>65</v>
      </c>
      <c r="H11" s="5"/>
      <c r="K11" s="5"/>
      <c r="L11" s="5"/>
    </row>
    <row r="12" spans="1:12">
      <c r="A12" s="17"/>
      <c r="B12">
        <v>2012</v>
      </c>
      <c r="C12">
        <v>7536</v>
      </c>
      <c r="D12" s="11">
        <v>0.4</v>
      </c>
      <c r="E12">
        <v>6836</v>
      </c>
      <c r="F12" s="11">
        <v>0.36284516163278308</v>
      </c>
      <c r="G12">
        <f>18700*0.2</f>
        <v>3740</v>
      </c>
    </row>
    <row r="13" spans="1:12">
      <c r="A13" s="17"/>
      <c r="B13">
        <v>2013</v>
      </c>
      <c r="C13">
        <v>2301</v>
      </c>
      <c r="D13" s="11">
        <v>0.12</v>
      </c>
      <c r="E13">
        <v>1163</v>
      </c>
      <c r="F13" s="11">
        <v>6.0836107899472316E-2</v>
      </c>
      <c r="G13" s="9">
        <f>18700*0.03</f>
        <v>561</v>
      </c>
    </row>
    <row r="14" spans="1:12">
      <c r="A14" s="17"/>
      <c r="B14">
        <v>2014</v>
      </c>
      <c r="C14">
        <v>3172</v>
      </c>
      <c r="D14" s="11">
        <v>0.17</v>
      </c>
      <c r="E14" s="20">
        <v>1789</v>
      </c>
      <c r="F14" s="11">
        <v>9.5889232495752208E-2</v>
      </c>
      <c r="G14">
        <v>1122</v>
      </c>
    </row>
    <row r="15" spans="1:12">
      <c r="A15" s="17"/>
      <c r="B15">
        <v>2015</v>
      </c>
      <c r="C15">
        <v>1761</v>
      </c>
      <c r="D15" s="14">
        <v>0.09</v>
      </c>
      <c r="E15" s="6">
        <v>-29</v>
      </c>
      <c r="F15" s="21">
        <v>-1.4844486333647502E-3</v>
      </c>
      <c r="G15" s="9">
        <f>18700*0.03</f>
        <v>561</v>
      </c>
    </row>
    <row r="16" spans="1:12">
      <c r="A16" s="17"/>
      <c r="B16">
        <v>2016</v>
      </c>
      <c r="C16">
        <v>6230</v>
      </c>
      <c r="D16" s="11">
        <v>0.33</v>
      </c>
      <c r="E16">
        <v>4070</v>
      </c>
      <c r="F16" s="11">
        <v>0.21558195418720003</v>
      </c>
      <c r="G16" s="9">
        <v>1965</v>
      </c>
    </row>
    <row r="17" spans="1:12">
      <c r="A17" s="17"/>
      <c r="B17">
        <v>2017</v>
      </c>
      <c r="C17">
        <v>13315</v>
      </c>
      <c r="D17" s="11">
        <v>0.71</v>
      </c>
      <c r="E17" s="20">
        <v>12569</v>
      </c>
      <c r="F17" s="11">
        <v>0.67020448259002763</v>
      </c>
      <c r="G17" s="9">
        <v>1965</v>
      </c>
    </row>
    <row r="18" spans="1:12">
      <c r="A18" s="17"/>
      <c r="B18" t="s">
        <v>64</v>
      </c>
      <c r="C18">
        <f>SUM(C12:C17)</f>
        <v>34315</v>
      </c>
      <c r="D18" s="9">
        <f t="shared" ref="D18:F18" si="0">SUM(D12:D17)</f>
        <v>1.82</v>
      </c>
      <c r="E18" s="19">
        <f t="shared" si="0"/>
        <v>26398</v>
      </c>
      <c r="F18" s="19">
        <f t="shared" si="0"/>
        <v>1.4038724901718704</v>
      </c>
    </row>
    <row r="19" spans="1:12">
      <c r="A19" s="17"/>
      <c r="B19" t="s">
        <v>22</v>
      </c>
      <c r="C19" s="1">
        <f>C18/6</f>
        <v>5719.166666666667</v>
      </c>
      <c r="D19" s="11">
        <f t="shared" ref="D19:F19" si="1">D18/6</f>
        <v>0.30333333333333334</v>
      </c>
      <c r="E19" s="19">
        <f t="shared" si="1"/>
        <v>4399.666666666667</v>
      </c>
      <c r="F19" s="19">
        <f t="shared" si="1"/>
        <v>0.23397874836197841</v>
      </c>
    </row>
    <row r="20" spans="1:12">
      <c r="A20" s="9"/>
      <c r="B20" s="9"/>
      <c r="C20" s="9"/>
      <c r="D20" s="5"/>
      <c r="H20" s="5"/>
      <c r="I20" s="5"/>
      <c r="J20" s="5"/>
    </row>
    <row r="21" spans="1:12">
      <c r="A21" s="10">
        <v>2</v>
      </c>
      <c r="B21" s="10"/>
      <c r="C21" s="9"/>
      <c r="D21" s="10"/>
      <c r="H21" s="5"/>
      <c r="I21" s="5"/>
      <c r="J21" s="5"/>
      <c r="K21" s="5"/>
      <c r="L21" s="5"/>
    </row>
    <row r="22" spans="1:12">
      <c r="A22" s="10"/>
      <c r="B22" s="10" t="s">
        <v>15</v>
      </c>
      <c r="C22" s="9"/>
      <c r="K22" s="5"/>
      <c r="L22" s="5"/>
    </row>
    <row r="23" spans="1:12">
      <c r="A23" s="9"/>
      <c r="B23" s="9" t="s">
        <v>16</v>
      </c>
      <c r="C23" s="9"/>
      <c r="D23" s="9">
        <v>34315</v>
      </c>
    </row>
    <row r="24" spans="1:12">
      <c r="A24" s="9"/>
      <c r="B24" s="9" t="s">
        <v>17</v>
      </c>
      <c r="C24" s="9"/>
      <c r="D24" s="9">
        <f>SUM(G12:G17)</f>
        <v>9914</v>
      </c>
    </row>
    <row r="25" spans="1:12">
      <c r="A25" s="9"/>
      <c r="B25" s="9" t="s">
        <v>18</v>
      </c>
      <c r="C25" s="9"/>
      <c r="D25">
        <f>D23-D24</f>
        <v>24401</v>
      </c>
    </row>
    <row r="26" spans="1:12">
      <c r="A26" s="9"/>
      <c r="B26" s="9"/>
      <c r="C26" s="9" t="s">
        <v>19</v>
      </c>
      <c r="D26">
        <v>27916</v>
      </c>
    </row>
    <row r="27" spans="1:12">
      <c r="A27" s="9"/>
      <c r="B27" s="9"/>
      <c r="C27" s="9" t="s">
        <v>20</v>
      </c>
      <c r="D27">
        <v>49319</v>
      </c>
    </row>
    <row r="28" spans="1:12">
      <c r="A28" s="9"/>
      <c r="B28" s="9" t="s">
        <v>21</v>
      </c>
      <c r="C28" s="9"/>
      <c r="D28">
        <f>D27-D26</f>
        <v>21403</v>
      </c>
    </row>
    <row r="29" spans="1:12">
      <c r="A29" s="10">
        <v>3</v>
      </c>
      <c r="B29" s="10"/>
      <c r="C29" s="10"/>
      <c r="D29" s="10"/>
    </row>
    <row r="30" spans="1:12">
      <c r="A30" s="10"/>
      <c r="B30" s="10" t="s">
        <v>66</v>
      </c>
      <c r="C30" s="9" t="s">
        <v>67</v>
      </c>
      <c r="D30" s="10">
        <f>D25-D28</f>
        <v>2998</v>
      </c>
    </row>
    <row r="31" spans="1:12">
      <c r="A31" s="10">
        <v>4</v>
      </c>
      <c r="B31" s="9"/>
      <c r="C31" s="9"/>
    </row>
    <row r="32" spans="1:12">
      <c r="A32" s="9"/>
      <c r="B32" s="10" t="s">
        <v>25</v>
      </c>
      <c r="C32" s="10"/>
    </row>
    <row r="33" spans="1:4">
      <c r="A33" s="9"/>
      <c r="B33" s="9" t="s">
        <v>27</v>
      </c>
      <c r="C33" s="9"/>
      <c r="D33" s="9">
        <v>24401</v>
      </c>
    </row>
    <row r="34" spans="1:4">
      <c r="A34" s="9"/>
      <c r="B34" s="9" t="s">
        <v>29</v>
      </c>
      <c r="C34" s="9"/>
      <c r="D34" s="9">
        <v>21403</v>
      </c>
    </row>
    <row r="35" spans="1:4">
      <c r="A35" s="9"/>
      <c r="B35" s="9" t="s">
        <v>31</v>
      </c>
      <c r="C35" s="9"/>
      <c r="D35">
        <f>D33-D34</f>
        <v>2998</v>
      </c>
    </row>
    <row r="36" spans="1:4">
      <c r="A36" s="16">
        <v>5</v>
      </c>
      <c r="B36" s="10"/>
      <c r="C36" s="10"/>
    </row>
    <row r="37" spans="1:4">
      <c r="B37" s="10" t="s">
        <v>23</v>
      </c>
      <c r="C37" s="10"/>
    </row>
    <row r="38" spans="1:4">
      <c r="B38" t="s">
        <v>24</v>
      </c>
      <c r="C38">
        <v>60910</v>
      </c>
    </row>
    <row r="39" spans="1:4">
      <c r="B39" t="s">
        <v>26</v>
      </c>
      <c r="C39">
        <v>50888</v>
      </c>
    </row>
    <row r="40" spans="1:4">
      <c r="B40" s="9" t="s">
        <v>28</v>
      </c>
      <c r="C40" s="9">
        <f>C39-C38</f>
        <v>-10022</v>
      </c>
      <c r="D40" s="9"/>
    </row>
    <row r="41" spans="1:4">
      <c r="A41" s="8"/>
      <c r="B41" t="s">
        <v>30</v>
      </c>
      <c r="C41">
        <v>18289</v>
      </c>
    </row>
    <row r="42" spans="1:4">
      <c r="A42" s="8"/>
      <c r="B42" s="9" t="s">
        <v>32</v>
      </c>
      <c r="C42" s="9">
        <f>C40-C41</f>
        <v>-28311</v>
      </c>
      <c r="D42" s="18"/>
    </row>
    <row r="43" spans="1:4">
      <c r="A43" s="15" t="s">
        <v>33</v>
      </c>
      <c r="D43" s="7"/>
    </row>
    <row r="44" spans="1:4">
      <c r="A44" s="15"/>
      <c r="B44" s="10" t="s">
        <v>34</v>
      </c>
      <c r="C44" s="10" t="s">
        <v>0</v>
      </c>
    </row>
    <row r="45" spans="1:4">
      <c r="B45" t="s">
        <v>35</v>
      </c>
    </row>
    <row r="46" spans="1:4">
      <c r="B46" s="9">
        <v>2015</v>
      </c>
      <c r="C46" s="9">
        <v>1761</v>
      </c>
    </row>
    <row r="47" spans="1:4">
      <c r="A47" s="15"/>
      <c r="B47" s="9">
        <v>2016</v>
      </c>
      <c r="C47" s="9">
        <v>6230</v>
      </c>
    </row>
    <row r="48" spans="1:4">
      <c r="B48" s="9">
        <v>2017</v>
      </c>
      <c r="C48" s="9">
        <v>13315</v>
      </c>
      <c r="D48" s="9"/>
    </row>
    <row r="49" spans="1:4">
      <c r="A49" s="15"/>
      <c r="B49" t="s">
        <v>36</v>
      </c>
      <c r="C49">
        <f>SUM(C46:C48)</f>
        <v>21306</v>
      </c>
    </row>
    <row r="51" spans="1:4">
      <c r="B51" t="s">
        <v>37</v>
      </c>
      <c r="C51">
        <f>SUM(G15:G17)</f>
        <v>4491</v>
      </c>
    </row>
    <row r="52" spans="1:4">
      <c r="B52" t="s">
        <v>38</v>
      </c>
      <c r="C52">
        <f>D37-F35</f>
        <v>0</v>
      </c>
    </row>
    <row r="54" spans="1:4">
      <c r="B54" t="s">
        <v>39</v>
      </c>
      <c r="C54">
        <f>C49+C52-C51</f>
        <v>16815</v>
      </c>
    </row>
    <row r="57" spans="1:4">
      <c r="B57" s="22" t="s">
        <v>34</v>
      </c>
      <c r="C57" s="12" t="s">
        <v>0</v>
      </c>
    </row>
    <row r="58" spans="1:4">
      <c r="B58" s="22"/>
      <c r="C58" s="7">
        <v>42004</v>
      </c>
      <c r="D58" s="7">
        <v>43100</v>
      </c>
    </row>
    <row r="59" spans="1:4">
      <c r="B59" t="s">
        <v>40</v>
      </c>
      <c r="C59">
        <v>71982</v>
      </c>
      <c r="D59">
        <v>85719</v>
      </c>
    </row>
    <row r="60" spans="1:4">
      <c r="B60" t="s">
        <v>41</v>
      </c>
      <c r="C60">
        <v>3576</v>
      </c>
      <c r="D60">
        <v>15055</v>
      </c>
    </row>
    <row r="61" spans="1:4">
      <c r="B61" t="s">
        <v>42</v>
      </c>
      <c r="C61">
        <v>43146</v>
      </c>
      <c r="D61">
        <v>57218</v>
      </c>
    </row>
    <row r="62" spans="1:4">
      <c r="B62" t="s">
        <v>43</v>
      </c>
      <c r="C62">
        <v>4374</v>
      </c>
      <c r="D62">
        <v>8050</v>
      </c>
    </row>
    <row r="63" spans="1:4">
      <c r="B63" t="s">
        <v>44</v>
      </c>
      <c r="C63">
        <f>SUM(C59:C62)</f>
        <v>123078</v>
      </c>
      <c r="D63" s="9">
        <f>SUM(D59:D62)</f>
        <v>166042</v>
      </c>
    </row>
    <row r="64" spans="1:4">
      <c r="B64" t="s">
        <v>45</v>
      </c>
      <c r="C64">
        <v>4954</v>
      </c>
      <c r="D64">
        <v>21385</v>
      </c>
    </row>
    <row r="65" spans="2:4">
      <c r="B65" t="s">
        <v>46</v>
      </c>
    </row>
    <row r="66" spans="2:4">
      <c r="B66" t="s">
        <v>47</v>
      </c>
      <c r="C66">
        <v>79157</v>
      </c>
      <c r="D66">
        <v>97446</v>
      </c>
    </row>
    <row r="67" spans="2:4">
      <c r="B67" t="s">
        <v>48</v>
      </c>
      <c r="C67">
        <v>31632</v>
      </c>
      <c r="D67">
        <v>49355</v>
      </c>
    </row>
    <row r="68" spans="2:4">
      <c r="B68" t="s">
        <v>49</v>
      </c>
      <c r="C68">
        <f>SUM(C64:C67)</f>
        <v>115743</v>
      </c>
      <c r="D68" s="9">
        <f>SUM(D64:D67)</f>
        <v>168186</v>
      </c>
    </row>
    <row r="69" spans="2:4">
      <c r="B69" t="s">
        <v>50</v>
      </c>
      <c r="C69">
        <f>SUM(C60:C62)</f>
        <v>51096</v>
      </c>
      <c r="D69" s="9">
        <f>SUM(D60:D62)</f>
        <v>80323</v>
      </c>
    </row>
    <row r="70" spans="2:4">
      <c r="B70" t="s">
        <v>51</v>
      </c>
      <c r="C70">
        <f>SUM(C60:C61)</f>
        <v>46722</v>
      </c>
      <c r="D70" s="9">
        <f>SUM(D60:D61)</f>
        <v>72273</v>
      </c>
    </row>
  </sheetData>
  <sortState ref="B47:C48">
    <sortCondition ref="B2"/>
  </sortState>
  <mergeCells count="1">
    <mergeCell ref="B57:B58"/>
  </mergeCells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比率分析</vt:lpstr>
      <vt:lpstr>永安药业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2018-12-16T04:10:00Z</dcterms:modified>
</cp:coreProperties>
</file>