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损益表分析-收益股G" sheetId="15" r:id="rId3"/>
    <sheet name="成长股十五原则" sheetId="17" r:id="rId4"/>
    <sheet name="公司分析" sheetId="22" r:id="rId5"/>
    <sheet name="债券选择原则-H" sheetId="16" r:id="rId6"/>
    <sheet name="保守型投资要素" sheetId="21" r:id="rId7"/>
  </sheets>
  <externalReferences>
    <externalReference r:id="rId8"/>
    <externalReference r:id="rId9"/>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5" i="14" l="1"/>
  <c r="G9" i="14"/>
  <c r="F9" i="14"/>
  <c r="F15" i="14"/>
  <c r="B19" i="14" l="1"/>
  <c r="Q19" i="14" l="1"/>
  <c r="P19" i="14"/>
  <c r="O19" i="14"/>
  <c r="P5" i="21" l="1"/>
  <c r="J6" i="15" l="1"/>
  <c r="B5" i="15" l="1"/>
  <c r="Q18" i="14"/>
  <c r="P18" i="14"/>
  <c r="O18" i="14"/>
  <c r="B18" i="14"/>
  <c r="Q15" i="14" l="1"/>
  <c r="P15" i="14"/>
  <c r="O15" i="14"/>
  <c r="B15" i="14"/>
  <c r="M4" i="17" l="1"/>
  <c r="L4" i="17"/>
  <c r="K4" i="17"/>
  <c r="Q14" i="14" l="1"/>
  <c r="P14" i="14"/>
  <c r="O14" i="14"/>
  <c r="B14" i="14"/>
  <c r="Q13" i="14" l="1"/>
  <c r="P13" i="14"/>
  <c r="O13" i="14"/>
  <c r="B13" i="14"/>
  <c r="L6" i="17" l="1"/>
  <c r="L5" i="17"/>
  <c r="K6" i="17" l="1"/>
  <c r="K5" i="17"/>
  <c r="M6" i="17" l="1"/>
  <c r="M5" i="17" l="1"/>
  <c r="H5" i="17"/>
  <c r="G5" i="17"/>
  <c r="E5" i="17"/>
  <c r="Q12" i="14" l="1"/>
  <c r="P12" i="14"/>
  <c r="B12"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<sst xmlns="http://schemas.openxmlformats.org/spreadsheetml/2006/main" count="422" uniqueCount="386">
  <si>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</si>
  <si>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</si>
  <si>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</si>
  <si>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</si>
  <si>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</si>
  <si>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</si>
  <si>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</si>
  <si>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</si>
  <si>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</si>
  <si>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</si>
  <si>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</si>
  <si>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</si>
  <si>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</si>
  <si>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</si>
  <si>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</si>
  <si>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</si>
  <si>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</si>
  <si>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</si>
  <si>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</si>
  <si>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</si>
  <si>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</si>
  <si>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</si>
  <si>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</si>
  <si>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</si>
  <si>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</si>
  <si>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</si>
  <si>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</si>
  <si>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</si>
  <si>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</si>
  <si>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</si>
  <si>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</si>
  <si>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</si>
  <si>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</si>
  <si>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</si>
  <si>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</si>
  <si>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</si>
  <si>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</si>
  <si>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</si>
  <si>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</si>
  <si>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</si>
  <si>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</si>
  <si>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</si>
  <si>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</si>
  <si>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</si>
  <si>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</si>
  <si>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</si>
  <si>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</si>
  <si>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</si>
  <si>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</si>
  <si>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</si>
  <si>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</si>
  <si>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</si>
  <si>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</si>
  <si>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</si>
  <si>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</si>
  <si>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</si>
  <si>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</si>
  <si>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</si>
  <si>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</si>
  <si>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</si>
  <si>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</si>
  <si>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</si>
  <si>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</si>
  <si>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</si>
  <si>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</si>
  <si>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</si>
  <si>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</si>
  <si>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</si>
  <si>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</si>
  <si>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</si>
  <si>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</si>
  <si>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</si>
  <si>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</si>
  <si>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</si>
  <si>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</si>
  <si>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</si>
  <si>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</si>
  <si>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</si>
  <si>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</si>
  <si>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</si>
  <si>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</si>
  <si>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</si>
  <si>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</si>
  <si>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</si>
  <si>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</si>
  <si>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</si>
  <si>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</si>
  <si>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</si>
  <si>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</si>
  <si>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</si>
  <si>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</si>
  <si>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</si>
  <si>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</si>
  <si>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</si>
  <si>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</si>
  <si>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</si>
  <si>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</si>
  <si>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</si>
  <si>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</si>
  <si>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</si>
  <si>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</si>
  <si>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</si>
  <si>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</si>
  <si>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</si>
  <si>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</si>
  <si>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</si>
  <si>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</si>
  <si>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</si>
  <si>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</si>
  <si>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</si>
  <si>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</si>
  <si>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</si>
  <si>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</si>
  <si>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</si>
  <si>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</si>
  <si>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</si>
  <si>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</si>
  <si>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</si>
  <si>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</si>
  <si>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</si>
  <si>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</si>
  <si>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</si>
  <si>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</si>
  <si>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</si>
  <si>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</si>
  <si>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</si>
  <si>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</si>
  <si>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</si>
  <si>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</si>
  <si>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</si>
  <si>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</si>
  <si>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</si>
  <si>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</si>
  <si>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</si>
  <si>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</si>
  <si>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</si>
  <si>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</si>
  <si>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</si>
  <si>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</si>
  <si>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</si>
  <si>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</si>
  <si>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</si>
  <si>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</si>
  <si>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</si>
  <si>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</si>
  <si>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</si>
  <si>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</si>
  <si>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</si>
  <si>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</si>
  <si>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</si>
  <si>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</si>
  <si>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</si>
  <si>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</si>
  <si>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</si>
  <si>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</si>
  <si>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</si>
  <si>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</si>
  <si>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</si>
  <si>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</si>
  <si>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</si>
  <si>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</si>
  <si>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</si>
  <si>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</si>
  <si>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</si>
  <si>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</si>
  <si>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</si>
  <si>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</si>
  <si>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</si>
  <si>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</si>
  <si>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</si>
  <si>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</si>
  <si>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</si>
  <si>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</si>
  <si>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</si>
  <si>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</si>
  <si>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</si>
  <si>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</si>
  <si>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</si>
  <si>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</si>
  <si>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</si>
  <si>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</si>
  <si>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</si>
  <si>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</si>
  <si>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</si>
  <si>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</si>
  <si>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</si>
  <si>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</si>
  <si>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</si>
  <si>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</si>
  <si>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</si>
  <si>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</si>
  <si>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</si>
  <si>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</si>
  <si>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</si>
  <si>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</si>
  <si>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</si>
  <si>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</si>
  <si>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</si>
  <si>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</si>
  <si>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</si>
  <si>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</si>
  <si>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</si>
  <si>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</si>
  <si>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</si>
  <si>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</si>
  <si>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</si>
  <si>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</si>
  <si>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</si>
  <si>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</si>
  <si>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</si>
  <si>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</si>
  <si>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</si>
  <si>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</si>
  <si>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</si>
  <si>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</si>
  <si>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</si>
  <si>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</si>
  <si>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</si>
  <si>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</si>
  <si>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</si>
  <si>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</si>
  <si>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</si>
  <si>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</si>
  <si>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</si>
  <si>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</si>
  <si>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</si>
  <si>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</si>
  <si>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</si>
  <si>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</si>
  <si>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</si>
  <si>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</si>
  <si>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</si>
  <si>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</si>
  <si>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</si>
  <si>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</si>
  <si>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</si>
  <si>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</si>
  <si>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</si>
  <si>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</si>
  <si>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</si>
  <si>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</si>
  <si>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</si>
  <si>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</si>
  <si>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</si>
  <si>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</si>
  <si>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</si>
  <si>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</si>
  <si>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</si>
  <si>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</si>
  <si>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</si>
  <si>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</si>
  <si>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</si>
  <si>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</si>
  <si>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</si>
  <si>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</si>
  <si>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</si>
  <si>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</si>
  <si>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</si>
  <si>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</si>
  <si>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</si>
  <si>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</si>
  <si>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</si>
  <si>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</si>
  <si>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</si>
  <si>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</si>
  <si>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</si>
  <si>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</si>
  <si>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</si>
  <si>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</si>
  <si>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</si>
  <si>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</si>
  <si>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</si>
  <si>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</si>
  <si>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</si>
  <si>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</si>
  <si>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</si>
  <si>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</si>
  <si>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</si>
  <si>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</si>
  <si>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</si>
  <si>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</si>
  <si>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</si>
  <si>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</si>
  <si>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</si>
  <si>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</si>
  <si>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</si>
  <si>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</si>
  <si>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</si>
  <si>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</si>
  <si>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</si>
  <si>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</si>
  <si>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</si>
  <si>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</si>
  <si>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</si>
  <si>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</si>
  <si>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</si>
  <si>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</si>
  <si>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</si>
  <si>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</si>
  <si>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</si>
  <si>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</si>
  <si>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</si>
  <si>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</si>
  <si>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</si>
  <si>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</si>
  <si>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</si>
  <si>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</si>
  <si>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</si>
  <si>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</si>
  <si>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</si>
  <si>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</si>
  <si>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</si>
  <si>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</si>
  <si>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</si>
  <si>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</si>
  <si>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</si>
  <si>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</si>
  <si>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</si>
  <si>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</si>
  <si>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</si>
  <si>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</si>
  <si>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</si>
  <si>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</si>
  <si>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</si>
  <si>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</si>
  <si>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</si>
  <si>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</si>
  <si>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</si>
  <si>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</si>
  <si>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</si>
  <si>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</si>
  <si>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</si>
  <si>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</si>
  <si>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</si>
  <si>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</si>
  <si>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</si>
  <si>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</si>
  <si>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</si>
  <si>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</si>
  <si>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</si>
  <si>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</si>
  <si>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</si>
  <si>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</si>
  <si>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</si>
  <si>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</si>
  <si>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</si>
  <si>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假设增长率0，贴现5%，净利润全部转化为现金流入且保守估计为1.8亿，5年的内在价值</t>
    <phoneticPr fontId="2" type="noConversion"/>
  </si>
  <si>
    <t>假设增长率10%，
贴现7%,净利润全部转化为
现金流入且保守估计2.13亿
，5年内在价值</t>
    <phoneticPr fontId="2" type="noConversion"/>
  </si>
  <si>
    <t>6年平均每股收益的16.9倍</t>
    <phoneticPr fontId="2" type="noConversion"/>
  </si>
  <si>
    <t>6年每股平均收益的26.7</t>
    <phoneticPr fontId="2" type="noConversion"/>
  </si>
  <si>
    <t>假设增长率0，贴现5%，净利润全部转化为现金流入且保守估计为0.39亿，5年的内在价值</t>
    <phoneticPr fontId="2" type="noConversion"/>
  </si>
  <si>
    <t>6年平均每股收益的6.53倍</t>
    <phoneticPr fontId="2" type="noConversion"/>
  </si>
  <si>
    <t>6年每股平均收益的10.57</t>
    <phoneticPr fontId="2" type="noConversion"/>
  </si>
  <si>
    <t>假设增长率10%，
贴现7%,净利润全部转化为
现金流入且保守估计0.42亿
，5年内在价值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</si>
  <si>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</si>
  <si>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</si>
  <si>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</si>
  <si>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</si>
  <si>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</si>
  <si>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</si>
  <si>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</si>
  <si>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</si>
  <si>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</si>
  <si>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</si>
  <si>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</si>
  <si>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</si>
  <si>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</si>
  <si>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</si>
  <si>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</si>
  <si>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一家企业在剩余的寿命中可以产生的现金的折现值</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</si>
  <si>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</si>
  <si>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</si>
  <si>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</si>
  <si>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</si>
  <si>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</si>
  <si>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</si>
  <si>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</si>
  <si>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</si>
  <si>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</si>
  <si>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</si>
  <si>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</si>
  <si>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</si>
  <si>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</si>
  <si>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</si>
  <si>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t>4.44~6.98</t>
    <phoneticPr fontId="2" type="noConversion"/>
  </si>
  <si>
    <t>7.61~8.9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</si>
</sst>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1"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4">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176" fontId="0" fillId="2" borderId="0" xfId="0" applyNumberFormat="1" applyFill="1" applyAlignment="1">
      <alignment wrapText="1"/>
    </xf>
    <xf numFmtId="0" fontId="9" fillId="0" borderId="0" xfId="0" applyFont="1"/>
    <xf numFmtId="0" fontId="10" fillId="0" borderId="0" xfId="0" applyFont="1"/>
    <xf numFmtId="0" fontId="9"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center"/>
    </xf>
    <xf numFmtId="0" fontId="0" fillId="0" borderId="0" xfId="0"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8566144"/>
        <c:axId val="148582592"/>
      </c:lineChart>
      <c:catAx>
        <c:axId val="148566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8582592"/>
        <c:crosses val="autoZero"/>
        <c:auto val="1"/>
        <c:lblAlgn val="ctr"/>
        <c:lblOffset val="100"/>
        <c:noMultiLvlLbl val="0"/>
      </c:catAx>
      <c:valAx>
        <c:axId val="14858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85661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8533136"/>
        <c:axId val="148942584"/>
      </c:lineChart>
      <c:catAx>
        <c:axId val="148533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8942584"/>
        <c:crosses val="autoZero"/>
        <c:auto val="1"/>
        <c:lblAlgn val="ctr"/>
        <c:lblOffset val="100"/>
        <c:noMultiLvlLbl val="0"/>
      </c:catAx>
      <c:valAx>
        <c:axId val="148942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85331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zoomScaleNormal="100" workbookViewId="0">
      <selection activeCell="H15" sqref="H15"/>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69" t="s">
        <v>199</v>
      </c>
      <c r="C1" s="69"/>
      <c r="D1" s="69"/>
      <c r="E1" s="70" t="s">
        <v>83</v>
      </c>
      <c r="F1" s="70"/>
      <c r="G1" s="70"/>
      <c r="H1" s="70"/>
      <c r="I1" s="70"/>
      <c r="J1" s="70" t="s">
        <v>82</v>
      </c>
      <c r="K1" s="70"/>
      <c r="L1" s="70"/>
      <c r="M1" s="70"/>
      <c r="N1" s="70"/>
      <c r="O1" s="70"/>
      <c r="P1" s="70" t="s">
        <v>209</v>
      </c>
      <c r="Q1" s="70"/>
      <c r="R1" s="70"/>
      <c r="S1" s="70" t="s">
        <v>210</v>
      </c>
      <c r="T1" s="70"/>
      <c r="U1" s="70"/>
      <c r="V1" s="70" t="s">
        <v>193</v>
      </c>
      <c r="W1" s="70"/>
    </row>
    <row r="2" spans="1:25" ht="120" customHeight="1" x14ac:dyDescent="0.15">
      <c r="A2" s="1" t="s">
        <v>79</v>
      </c>
      <c r="B2" s="30" t="s">
        <v>201</v>
      </c>
      <c r="C2" s="42" t="s">
        <v>200</v>
      </c>
      <c r="D2" s="42" t="s">
        <v>194</v>
      </c>
      <c r="E2" s="1" t="s">
        <v>80</v>
      </c>
      <c r="F2" s="70" t="s">
        <v>345</v>
      </c>
      <c r="G2" s="70"/>
      <c r="H2" s="70"/>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69" t="s">
        <v>202</v>
      </c>
      <c r="D3" s="69"/>
      <c r="F3" s="69" t="s">
        <v>369</v>
      </c>
      <c r="G3" s="69"/>
      <c r="H3" s="69"/>
      <c r="K3" s="69" t="s">
        <v>204</v>
      </c>
      <c r="L3" s="69"/>
      <c r="M3" s="69"/>
      <c r="N3" s="69"/>
      <c r="O3" s="69"/>
      <c r="P3" s="69" t="s">
        <v>212</v>
      </c>
      <c r="Q3" s="70"/>
      <c r="R3" s="70"/>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NPV(7%,0.42*1.1,0.42*1.1^2,0.42*1.1^3,0.42*1.1^4,0.42*1.1^5)/1.1</f>
        <v>2.0757992068834001</v>
      </c>
      <c r="H9" s="20" t="s">
        <v>384</v>
      </c>
      <c r="J9" s="18">
        <v>7.3000000000000001E-3</v>
      </c>
      <c r="K9" s="18"/>
      <c r="O9" s="32">
        <f>304/18</f>
        <v>16.888888888888889</v>
      </c>
      <c r="P9" s="20">
        <f>52367/28725</f>
        <v>1.8230461270670149</v>
      </c>
      <c r="Q9" s="20">
        <f>(52367-26519)/28725</f>
        <v>0.89984334203655347</v>
      </c>
    </row>
    <row r="10" spans="1:25" s="17" customFormat="1" ht="54" x14ac:dyDescent="0.15">
      <c r="B10" s="32"/>
      <c r="F10" s="65" t="s">
        <v>350</v>
      </c>
      <c r="G10" s="65" t="s">
        <v>353</v>
      </c>
      <c r="H10" s="65"/>
      <c r="J10" s="18"/>
      <c r="K10" s="18"/>
      <c r="O10" s="32"/>
      <c r="P10" s="20"/>
      <c r="Q10" s="20"/>
    </row>
    <row r="11" spans="1:25" s="17" customFormat="1" x14ac:dyDescent="0.15">
      <c r="B11" s="32"/>
      <c r="F11" s="20" t="s">
        <v>351</v>
      </c>
      <c r="G11" s="20" t="s">
        <v>352</v>
      </c>
      <c r="H11" s="20"/>
      <c r="J11" s="18"/>
      <c r="K11" s="18"/>
      <c r="O11" s="32"/>
      <c r="P11" s="20"/>
      <c r="Q11" s="20"/>
    </row>
    <row r="12" spans="1:25" ht="12.75" customHeight="1" x14ac:dyDescent="0.15">
      <c r="A12" t="s">
        <v>221</v>
      </c>
      <c r="B12" s="33">
        <f>(140755-37289-28391)/40362</f>
        <v>1.8600416233090531</v>
      </c>
      <c r="E12">
        <v>0.97</v>
      </c>
      <c r="J12" s="5">
        <v>2.7000000000000001E-3</v>
      </c>
      <c r="K12" s="5">
        <v>0.41399999999999998</v>
      </c>
      <c r="O12" s="33">
        <v>37.799999999999997</v>
      </c>
      <c r="P12" s="7">
        <f>181671/111350</f>
        <v>1.6315312079030084</v>
      </c>
      <c r="Q12" s="7">
        <f>(181671-846)/111350</f>
        <v>1.6239335428828019</v>
      </c>
      <c r="R12" t="s">
        <v>224</v>
      </c>
    </row>
    <row r="13" spans="1:25" s="17" customFormat="1" x14ac:dyDescent="0.15">
      <c r="A13" s="17" t="s">
        <v>273</v>
      </c>
      <c r="B13" s="32">
        <f>(33.63-4.18)/9.08</f>
        <v>3.2433920704845818</v>
      </c>
      <c r="E13" s="17">
        <v>0.2</v>
      </c>
      <c r="J13" s="18">
        <v>5.4199999999999998E-2</v>
      </c>
      <c r="K13" s="18">
        <v>0.66410000000000002</v>
      </c>
      <c r="O13" s="32">
        <f>407/12</f>
        <v>33.916666666666664</v>
      </c>
      <c r="P13" s="20">
        <f>35.64/34.01</f>
        <v>1.0479270802705087</v>
      </c>
      <c r="Q13" s="20">
        <f>(35.64-19.6)/34.01</f>
        <v>0.47162599235518965</v>
      </c>
    </row>
    <row r="14" spans="1:25" x14ac:dyDescent="0.15">
      <c r="A14" t="s">
        <v>274</v>
      </c>
      <c r="B14" s="33">
        <f>(113.17-4.6)/11.687</f>
        <v>9.2898091896979569</v>
      </c>
      <c r="E14">
        <v>0.64</v>
      </c>
      <c r="J14" s="18">
        <v>1.26E-2</v>
      </c>
      <c r="K14" s="5">
        <v>0.49509999999999998</v>
      </c>
      <c r="O14" s="33">
        <f>936/32</f>
        <v>29.25</v>
      </c>
      <c r="P14" s="7">
        <f>246.35/174.58</f>
        <v>1.4111009279413449</v>
      </c>
      <c r="Q14" s="7">
        <f>(246.35-104.48)/174.58</f>
        <v>0.81263604078359486</v>
      </c>
    </row>
    <row r="15" spans="1:25" s="17" customFormat="1" x14ac:dyDescent="0.15">
      <c r="A15" s="17" t="s">
        <v>286</v>
      </c>
      <c r="B15" s="32">
        <f>(15.54-0.89)/2.95</f>
        <v>4.9661016949152534</v>
      </c>
      <c r="E15" s="17">
        <v>0.23</v>
      </c>
      <c r="F15" s="20">
        <f>NPV(5%,1.8,1.8,1.8,1.8,1.8)/2.95</f>
        <v>2.6417145786899914</v>
      </c>
      <c r="G15" s="20">
        <f>NPV(7%,2.13*1.1,2.13*1.1^2,2.13*1.1^3,2.13*1.1^4,2.13*1.1^5)/2.95</f>
        <v>3.925421744735921</v>
      </c>
      <c r="H15" s="20" t="s">
        <v>385</v>
      </c>
      <c r="J15" s="18">
        <v>3.7000000000000002E-3</v>
      </c>
      <c r="K15" s="18">
        <v>0.14749999999999999</v>
      </c>
      <c r="O15" s="32">
        <f>1389/17</f>
        <v>81.705882352941174</v>
      </c>
      <c r="P15" s="20">
        <f>7.37/2.66</f>
        <v>2.7706766917293231</v>
      </c>
      <c r="Q15" s="20">
        <f>(7.37-0.85)/2.66</f>
        <v>2.4511278195488724</v>
      </c>
    </row>
    <row r="16" spans="1:25" s="17" customFormat="1" ht="54" x14ac:dyDescent="0.15">
      <c r="B16" s="32"/>
      <c r="F16" s="65" t="s">
        <v>346</v>
      </c>
      <c r="G16" s="65" t="s">
        <v>347</v>
      </c>
      <c r="H16" s="65"/>
      <c r="J16" s="18"/>
      <c r="K16" s="18"/>
      <c r="O16" s="32"/>
      <c r="P16" s="20"/>
      <c r="Q16" s="20"/>
    </row>
    <row r="17" spans="1:17" s="17" customFormat="1" x14ac:dyDescent="0.15">
      <c r="B17" s="32"/>
      <c r="F17" s="20" t="s">
        <v>348</v>
      </c>
      <c r="G17" s="20" t="s">
        <v>349</v>
      </c>
      <c r="H17" s="20"/>
      <c r="J17" s="18"/>
      <c r="K17" s="18"/>
      <c r="O17" s="32"/>
      <c r="P17" s="20"/>
      <c r="Q17" s="20"/>
    </row>
    <row r="18" spans="1:17" x14ac:dyDescent="0.15">
      <c r="A18" t="s">
        <v>292</v>
      </c>
      <c r="B18" s="7">
        <f>(22.44-0.39)/3.13</f>
        <v>7.0447284345047931</v>
      </c>
      <c r="J18" s="5">
        <v>2.0899999999999998E-2</v>
      </c>
      <c r="K18" s="5">
        <v>0.42470000000000002</v>
      </c>
      <c r="O18">
        <f>711/12</f>
        <v>59.25</v>
      </c>
      <c r="P18" s="7">
        <f>18.06/2.39</f>
        <v>7.556485355648535</v>
      </c>
      <c r="Q18" s="7">
        <f>(18.06-1.07)/2.39</f>
        <v>7.1087866108786599</v>
      </c>
    </row>
    <row r="19" spans="1:17" x14ac:dyDescent="0.15">
      <c r="A19" s="17" t="s">
        <v>344</v>
      </c>
      <c r="B19" s="33">
        <f>(197.69-21.02)/40.78</f>
        <v>4.3322707209416373</v>
      </c>
      <c r="E19" s="7"/>
      <c r="F19" s="7"/>
      <c r="J19" s="5">
        <v>1.1599999999999999E-2</v>
      </c>
      <c r="K19" s="5">
        <v>0.32219999999999999</v>
      </c>
      <c r="L19" s="5">
        <v>6.0000000000000001E-3</v>
      </c>
      <c r="O19">
        <f>975/20</f>
        <v>48.75</v>
      </c>
      <c r="P19" s="7">
        <f>115/16</f>
        <v>7.1875</v>
      </c>
      <c r="Q19" s="7">
        <f>(115-18)/16</f>
        <v>6.0625</v>
      </c>
    </row>
    <row r="20" spans="1:17" x14ac:dyDescent="0.15">
      <c r="E20" s="61"/>
      <c r="F20" s="61"/>
    </row>
    <row r="21" spans="1:17" x14ac:dyDescent="0.15">
      <c r="E21" s="7"/>
      <c r="F21" s="7"/>
    </row>
    <row r="22" spans="1:17" x14ac:dyDescent="0.15">
      <c r="E22" s="7"/>
      <c r="F22" s="7"/>
    </row>
    <row r="23" spans="1:17" x14ac:dyDescent="0.15">
      <c r="E23" s="7"/>
      <c r="F23" s="7"/>
    </row>
    <row r="24" spans="1:17" x14ac:dyDescent="0.15">
      <c r="E24" s="7"/>
      <c r="F24" s="7"/>
    </row>
    <row r="26" spans="1:17" x14ac:dyDescent="0.15">
      <c r="G26" t="s">
        <v>91</v>
      </c>
    </row>
  </sheetData>
  <mergeCells count="11">
    <mergeCell ref="B1:D1"/>
    <mergeCell ref="C3:D3"/>
    <mergeCell ref="V1:W1"/>
    <mergeCell ref="P1:R1"/>
    <mergeCell ref="S1:U1"/>
    <mergeCell ref="E1:I1"/>
    <mergeCell ref="K3:O3"/>
    <mergeCell ref="P3:R3"/>
    <mergeCell ref="J1:O1"/>
    <mergeCell ref="F2:H2"/>
    <mergeCell ref="F3:H3"/>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0" t="s">
        <v>89</v>
      </c>
      <c r="C1" s="70"/>
      <c r="D1" s="70"/>
      <c r="E1" s="70"/>
      <c r="F1" s="70" t="s">
        <v>92</v>
      </c>
      <c r="G1" s="70"/>
      <c r="H1" s="70"/>
      <c r="I1" s="70" t="s">
        <v>95</v>
      </c>
      <c r="J1" s="70"/>
      <c r="K1" s="70"/>
    </row>
    <row r="2" spans="1:12" ht="13.5" customHeight="1" x14ac:dyDescent="0.15">
      <c r="A2" s="1" t="s">
        <v>79</v>
      </c>
      <c r="B2" s="42" t="s">
        <v>90</v>
      </c>
      <c r="C2" s="42" t="s">
        <v>192</v>
      </c>
      <c r="D2" s="42" t="s">
        <v>293</v>
      </c>
      <c r="E2" s="42" t="s">
        <v>281</v>
      </c>
      <c r="F2" s="42" t="s">
        <v>335</v>
      </c>
      <c r="G2" s="42" t="s">
        <v>93</v>
      </c>
      <c r="H2" s="42" t="s">
        <v>94</v>
      </c>
      <c r="I2" s="42" t="s">
        <v>114</v>
      </c>
      <c r="J2" s="69" t="s">
        <v>115</v>
      </c>
      <c r="K2" s="69"/>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69" t="s">
        <v>227</v>
      </c>
      <c r="E1" s="69"/>
      <c r="F1" s="69"/>
      <c r="G1" s="69"/>
      <c r="H1" s="69"/>
      <c r="I1" s="69"/>
      <c r="J1" s="69" t="s">
        <v>234</v>
      </c>
      <c r="K1" s="69"/>
      <c r="L1" s="69"/>
      <c r="M1" s="69" t="s">
        <v>236</v>
      </c>
      <c r="N1" s="69"/>
      <c r="O1" s="49" t="s">
        <v>239</v>
      </c>
      <c r="P1" s="69" t="s">
        <v>241</v>
      </c>
      <c r="Q1" s="69"/>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7" t="s">
        <v>354</v>
      </c>
      <c r="B1" s="67"/>
      <c r="C1" s="67"/>
    </row>
    <row r="2" spans="1:22" ht="14.25" x14ac:dyDescent="0.15">
      <c r="A2" s="71" t="s">
        <v>355</v>
      </c>
      <c r="B2" s="71"/>
      <c r="C2" s="71"/>
    </row>
    <row r="3" spans="1:22" s="1" customFormat="1" x14ac:dyDescent="0.15">
      <c r="A3" s="70" t="s">
        <v>356</v>
      </c>
      <c r="B3" s="70"/>
      <c r="C3" s="70"/>
      <c r="D3" s="70"/>
      <c r="E3" s="70"/>
      <c r="F3" s="70"/>
      <c r="G3" s="70" t="s">
        <v>357</v>
      </c>
      <c r="H3" s="70"/>
      <c r="I3" s="70"/>
      <c r="J3" s="70" t="s">
        <v>358</v>
      </c>
      <c r="K3" s="70"/>
      <c r="L3" s="70"/>
      <c r="M3" s="70"/>
      <c r="N3" s="70"/>
      <c r="O3" s="70"/>
      <c r="P3" s="70"/>
      <c r="Q3" s="70" t="s">
        <v>376</v>
      </c>
      <c r="R3" s="70"/>
      <c r="S3" s="70"/>
      <c r="T3" s="70"/>
      <c r="U3" s="70"/>
      <c r="V3" s="70"/>
    </row>
    <row r="4" spans="1:22" s="66" customFormat="1" ht="36" x14ac:dyDescent="0.15">
      <c r="A4" s="66" t="s">
        <v>359</v>
      </c>
      <c r="B4" s="66" t="s">
        <v>360</v>
      </c>
      <c r="C4" s="66" t="s">
        <v>361</v>
      </c>
      <c r="D4" s="66" t="s">
        <v>362</v>
      </c>
      <c r="E4" s="68" t="s">
        <v>364</v>
      </c>
      <c r="F4" s="68" t="s">
        <v>363</v>
      </c>
      <c r="G4" s="66" t="s">
        <v>365</v>
      </c>
      <c r="H4" s="66" t="s">
        <v>366</v>
      </c>
      <c r="I4" s="66" t="s">
        <v>367</v>
      </c>
      <c r="J4" s="66" t="s">
        <v>370</v>
      </c>
      <c r="K4" s="66" t="s">
        <v>371</v>
      </c>
      <c r="L4" s="68" t="s">
        <v>383</v>
      </c>
      <c r="M4" s="66" t="s">
        <v>372</v>
      </c>
      <c r="N4" s="66" t="s">
        <v>373</v>
      </c>
      <c r="O4" s="66" t="s">
        <v>374</v>
      </c>
      <c r="P4" s="66" t="s">
        <v>375</v>
      </c>
      <c r="Q4" s="66" t="s">
        <v>377</v>
      </c>
      <c r="R4" s="66" t="s">
        <v>378</v>
      </c>
      <c r="S4" s="66" t="s">
        <v>379</v>
      </c>
      <c r="T4" s="66" t="s">
        <v>380</v>
      </c>
      <c r="U4" s="66" t="s">
        <v>381</v>
      </c>
      <c r="V4" s="66" t="s">
        <v>382</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0" t="s">
        <v>315</v>
      </c>
      <c r="C1" s="70"/>
      <c r="D1" s="70"/>
      <c r="E1" s="70"/>
      <c r="F1" s="70"/>
      <c r="G1" s="70"/>
      <c r="H1" s="70"/>
      <c r="I1" s="70"/>
      <c r="J1" s="70"/>
      <c r="K1" s="70"/>
      <c r="L1" s="70"/>
      <c r="M1" s="70" t="s">
        <v>330</v>
      </c>
      <c r="N1" s="70"/>
      <c r="O1" s="70"/>
      <c r="P1" s="69" t="s">
        <v>303</v>
      </c>
      <c r="Q1" s="69"/>
      <c r="R1" s="69"/>
      <c r="S1" s="69"/>
      <c r="T1" s="69"/>
      <c r="U1" s="69" t="s">
        <v>305</v>
      </c>
      <c r="V1" s="69"/>
      <c r="W1" s="69"/>
      <c r="X1" s="69"/>
      <c r="Y1" s="69"/>
      <c r="Z1" s="69"/>
    </row>
    <row r="2" spans="1:27" x14ac:dyDescent="0.15">
      <c r="B2" s="72" t="s">
        <v>314</v>
      </c>
      <c r="C2" s="72"/>
      <c r="D2" s="72"/>
      <c r="E2" s="72" t="s">
        <v>317</v>
      </c>
      <c r="F2" s="72"/>
      <c r="G2" s="72"/>
      <c r="H2" s="72" t="s">
        <v>323</v>
      </c>
      <c r="I2" s="72"/>
      <c r="J2" s="72" t="s">
        <v>326</v>
      </c>
      <c r="K2" s="72"/>
      <c r="L2" s="72"/>
      <c r="M2" s="63"/>
      <c r="N2" s="64"/>
      <c r="O2" s="63"/>
      <c r="P2" s="72" t="s">
        <v>294</v>
      </c>
      <c r="Q2" s="72"/>
      <c r="R2" s="62" t="s">
        <v>298</v>
      </c>
      <c r="S2" s="72" t="s">
        <v>299</v>
      </c>
      <c r="T2" s="72"/>
      <c r="U2" s="72" t="s">
        <v>312</v>
      </c>
      <c r="V2" s="72"/>
      <c r="W2" s="72" t="s">
        <v>306</v>
      </c>
      <c r="X2" s="72"/>
      <c r="Y2" s="72"/>
      <c r="Z2" s="72" t="s">
        <v>307</v>
      </c>
      <c r="AA2" s="72"/>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368</v>
      </c>
      <c r="X3" s="47" t="s">
        <v>310</v>
      </c>
      <c r="Y3" s="47" t="s">
        <v>311</v>
      </c>
      <c r="Z3" s="47" t="s">
        <v>308</v>
      </c>
      <c r="AA3" s="47" t="s">
        <v>309</v>
      </c>
    </row>
    <row r="4" spans="1:27" x14ac:dyDescent="0.15">
      <c r="A4" t="s">
        <v>337</v>
      </c>
      <c r="B4" t="s">
        <v>340</v>
      </c>
      <c r="C4" t="s">
        <v>341</v>
      </c>
      <c r="H4">
        <v>2</v>
      </c>
      <c r="J4" t="s">
        <v>340</v>
      </c>
      <c r="P4" s="73" t="s">
        <v>302</v>
      </c>
      <c r="Q4" s="73"/>
      <c r="R4" s="73"/>
      <c r="S4" s="73"/>
      <c r="T4" s="73"/>
    </row>
    <row r="5" spans="1:27" x14ac:dyDescent="0.15">
      <c r="P5" s="5">
        <f>3.4/(3.4+1.5+0.8+0.4)</f>
        <v>0.55737704918032782</v>
      </c>
      <c r="R5" t="s">
        <v>339</v>
      </c>
      <c r="S5">
        <v>234</v>
      </c>
      <c r="T5" s="21" t="s">
        <v>342</v>
      </c>
      <c r="V5" t="s">
        <v>343</v>
      </c>
    </row>
  </sheetData>
  <mergeCells count="14">
    <mergeCell ref="B1:L1"/>
    <mergeCell ref="P4:T4"/>
    <mergeCell ref="U2:V2"/>
    <mergeCell ref="B2:D2"/>
    <mergeCell ref="E2:G2"/>
    <mergeCell ref="H2:I2"/>
    <mergeCell ref="J2:L2"/>
    <mergeCell ref="M1:O1"/>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2019-01-19T03:08:59Z</dcterms:modified>
</cp:coreProperties>
</file>