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8800" windowHeight="12450" activeTab="2"/>
  </bookViews>
  <sheets>
    <sheet name="选股逻辑" sheetId="1" r:id="rId1"/>
    <sheet name="资产负债表-低价股F" sheetId="14" r:id="rId2"/>
    <sheet name="估值方法" sheetId="23" r:id="rId3"/>
    <sheet name="损益表分析-收益股G" sheetId="15" r:id="rId4"/>
    <sheet name="成长股十五原则" sheetId="17" r:id="rId5"/>
    <sheet name="公司分析" sheetId="22" r:id="rId6"/>
    <sheet name="债券选择原则-H" sheetId="16" r:id="rId7"/>
    <sheet name="保守型投资要素" sheetId="21" r:id="rId8"/>
  </sheets>
  <externalReferences>
    <externalReference r:id="rId9"/>
    <externalReference r:id="rId10"/>
  </externalReferenc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5" i="23" l="1"/>
  <c r="S5" i="23"/>
  <c r="G9" i="14" l="1"/>
  <c r="G13" i="14" l="1"/>
  <c r="F9" i="14"/>
  <c r="F13" i="14"/>
  <c r="B15" i="14" l="1"/>
  <c r="Q15" i="14" l="1"/>
  <c r="P15" i="14"/>
  <c r="O15" i="14"/>
  <c r="P5" i="21" l="1"/>
  <c r="J6" i="15" l="1"/>
  <c r="B5" i="15" l="1"/>
  <c r="Q14" i="14"/>
  <c r="P14" i="14"/>
  <c r="O14" i="14"/>
  <c r="B14" i="14"/>
  <c r="Q13" i="14" l="1"/>
  <c r="P13" i="14"/>
  <c r="O13" i="14"/>
  <c r="B13" i="14"/>
  <c r="M4" i="17" l="1"/>
  <c r="L4" i="17"/>
  <c r="K4" i="17"/>
  <c r="Q12" i="14" l="1"/>
  <c r="P12" i="14"/>
  <c r="O12" i="14"/>
  <c r="B12" i="14"/>
  <c r="Q11" i="14" l="1"/>
  <c r="P11" i="14"/>
  <c r="O11" i="14"/>
  <c r="B11" i="14"/>
  <c r="L6" i="17" l="1"/>
  <c r="L5" i="17"/>
  <c r="K6" i="17" l="1"/>
  <c r="K5" i="17"/>
  <c r="M6" i="17" l="1"/>
  <c r="M5" i="17" l="1"/>
  <c r="H5" i="17"/>
  <c r="G5" i="17"/>
  <c r="E5" i="17"/>
  <c r="Q10" i="14" l="1"/>
  <c r="P10" i="14"/>
  <c r="B10" i="14" l="1"/>
  <c r="Q9" i="14" l="1"/>
  <c r="P9" i="14"/>
  <c r="O9" i="14"/>
  <c r="B9" i="14" l="1"/>
  <c r="Q7" i="14" l="1"/>
  <c r="P7" i="14"/>
  <c r="Q5" i="14" l="1"/>
  <c r="P5" i="14"/>
  <c r="C8" i="14" l="1"/>
  <c r="B8" i="14"/>
  <c r="O7" i="14" l="1"/>
  <c r="C7" i="14"/>
  <c r="B7" i="14"/>
  <c r="O6" i="14"/>
  <c r="C6" i="14"/>
  <c r="B6" i="14"/>
  <c r="O5" i="14"/>
  <c r="C5" i="14"/>
  <c r="B5" i="14"/>
  <c r="C4" i="14" l="1"/>
  <c r="Q32" i="1"/>
  <c r="K32" i="1"/>
  <c r="L32" i="1" s="1"/>
  <c r="I32" i="1"/>
  <c r="H32" i="1"/>
  <c r="G32" i="1"/>
  <c r="Q31" i="1"/>
  <c r="K31" i="1"/>
  <c r="L31" i="1" s="1"/>
  <c r="I31" i="1"/>
  <c r="H31" i="1"/>
  <c r="G31" i="1"/>
  <c r="Q30" i="1"/>
  <c r="K30" i="1"/>
  <c r="L30" i="1" s="1"/>
  <c r="I30" i="1"/>
  <c r="H30" i="1"/>
  <c r="G30" i="1"/>
  <c r="Q29" i="1"/>
  <c r="K29" i="1"/>
  <c r="L29" i="1" s="1"/>
  <c r="I29" i="1"/>
  <c r="H29" i="1"/>
  <c r="G29" i="1"/>
  <c r="Q28" i="1"/>
  <c r="K28" i="1"/>
  <c r="L28" i="1" s="1"/>
  <c r="I28" i="1"/>
  <c r="H28" i="1"/>
  <c r="G28" i="1"/>
  <c r="Q27" i="1"/>
  <c r="K27" i="1"/>
  <c r="L27" i="1" s="1"/>
  <c r="I27" i="1"/>
  <c r="H27" i="1"/>
  <c r="G27" i="1"/>
  <c r="Q26" i="1"/>
  <c r="K26" i="1"/>
  <c r="L26" i="1" s="1"/>
  <c r="I26" i="1"/>
  <c r="G26" i="1"/>
  <c r="Q25" i="1" l="1"/>
  <c r="I25" i="1"/>
  <c r="H25" i="1"/>
  <c r="G25" i="1"/>
  <c r="K25" i="1"/>
  <c r="L25" i="1" s="1"/>
  <c r="Q24" i="1" l="1"/>
  <c r="I24" i="1"/>
  <c r="H24" i="1"/>
  <c r="G24" i="1"/>
  <c r="K24" i="1"/>
  <c r="L24" i="1" s="1"/>
  <c r="Q23" i="1" l="1"/>
  <c r="I23" i="1"/>
  <c r="H23" i="1"/>
  <c r="G23" i="1"/>
  <c r="K23" i="1"/>
  <c r="L23" i="1" s="1"/>
  <c r="Q22" i="1"/>
  <c r="I22" i="1"/>
  <c r="H22" i="1"/>
  <c r="G22" i="1"/>
  <c r="K22" i="1"/>
  <c r="L22" i="1" s="1"/>
  <c r="Q21" i="1"/>
  <c r="I21" i="1"/>
  <c r="H21" i="1"/>
  <c r="G21" i="1"/>
  <c r="K21" i="1"/>
  <c r="L21" i="1" s="1"/>
  <c r="K8" i="1"/>
  <c r="K9" i="1"/>
  <c r="K7" i="1"/>
  <c r="Q20" i="1"/>
  <c r="I20" i="1"/>
  <c r="H20" i="1"/>
  <c r="G20" i="1"/>
  <c r="K20" i="1"/>
  <c r="L20" i="1" s="1"/>
  <c r="Q19" i="1"/>
  <c r="K19" i="1"/>
  <c r="L19" i="1" s="1"/>
  <c r="J19" i="1"/>
  <c r="I19" i="1"/>
  <c r="H19" i="1"/>
  <c r="G19" i="1"/>
  <c r="Q18" i="1"/>
  <c r="K18" i="1"/>
  <c r="L18" i="1" s="1"/>
  <c r="I18" i="1"/>
  <c r="H18" i="1"/>
  <c r="G18" i="1"/>
  <c r="Q3" i="1"/>
  <c r="Q4" i="1"/>
  <c r="Q5" i="1"/>
  <c r="Q6" i="1"/>
  <c r="Q7" i="1"/>
  <c r="Q8" i="1"/>
  <c r="Q9" i="1"/>
  <c r="Q10" i="1"/>
  <c r="Q11" i="1"/>
  <c r="Q12" i="1"/>
  <c r="Q13" i="1"/>
  <c r="Q15" i="1"/>
  <c r="Q16" i="1"/>
  <c r="Q17" i="1"/>
  <c r="Q2" i="1"/>
  <c r="I4" i="1" l="1"/>
  <c r="H4" i="1"/>
  <c r="G4" i="1"/>
  <c r="K4" i="1"/>
  <c r="L4" i="1" s="1"/>
  <c r="K3" i="1"/>
  <c r="L3" i="1" s="1"/>
  <c r="I3" i="1"/>
  <c r="H3" i="1"/>
  <c r="G3" i="1"/>
  <c r="I10" i="1" l="1"/>
  <c r="H10" i="1"/>
  <c r="G10" i="1"/>
  <c r="K10" i="1"/>
  <c r="L10" i="1" s="1"/>
  <c r="I12" i="1"/>
  <c r="H12" i="1"/>
  <c r="G12" i="1"/>
  <c r="K12" i="1"/>
  <c r="L12" i="1" s="1"/>
  <c r="K2" i="1" l="1"/>
  <c r="K17" i="1" l="1"/>
  <c r="L17" i="1" s="1"/>
  <c r="I17" i="1"/>
  <c r="H17" i="1"/>
  <c r="G17" i="1"/>
  <c r="K16" i="1"/>
  <c r="L16" i="1" s="1"/>
  <c r="I16" i="1"/>
  <c r="H16" i="1"/>
  <c r="G16" i="1"/>
  <c r="O14" i="1" l="1"/>
  <c r="Q14" i="1" s="1"/>
  <c r="I14" i="1"/>
  <c r="H14" i="1"/>
  <c r="D14" i="1"/>
  <c r="K14" i="1" s="1"/>
  <c r="L14" i="1" s="1"/>
  <c r="G14" i="1" l="1"/>
  <c r="K15" i="1" l="1"/>
  <c r="L15" i="1" s="1"/>
  <c r="I15" i="1"/>
  <c r="H15" i="1"/>
  <c r="G15" i="1"/>
  <c r="L8" i="1" l="1"/>
  <c r="I8" i="1"/>
  <c r="H8" i="1"/>
  <c r="G8" i="1"/>
  <c r="L2" i="1"/>
  <c r="L7" i="1"/>
  <c r="I7" i="1"/>
  <c r="H7" i="1"/>
  <c r="G7" i="1"/>
  <c r="K13" i="1"/>
  <c r="L13" i="1" s="1"/>
  <c r="I13" i="1"/>
  <c r="H13" i="1"/>
  <c r="G13" i="1"/>
  <c r="K11" i="1"/>
  <c r="L11" i="1" s="1"/>
  <c r="I11" i="1"/>
  <c r="H11" i="1"/>
  <c r="G11" i="1"/>
  <c r="I2" i="1"/>
  <c r="H2" i="1"/>
  <c r="G2" i="1"/>
  <c r="L9" i="1"/>
  <c r="I9" i="1"/>
  <c r="H9" i="1"/>
  <c r="G9" i="1"/>
  <c r="K6" i="1"/>
  <c r="L6" i="1" s="1"/>
  <c r="I6" i="1"/>
  <c r="H6" i="1"/>
  <c r="G6" i="1"/>
  <c r="K5" i="1"/>
  <c r="L5" i="1" s="1"/>
  <c r="I5" i="1"/>
  <c r="H5" i="1"/>
  <c r="G5" i="1"/>
</calcChain>
</file>

<file path=xl/sharedStrings.xml><?xml version="1.0" encoding="utf-8"?>
<sst xmlns="http://schemas.openxmlformats.org/spreadsheetml/2006/main" count="466" uniqueCount="424">
  <si>
    <t>大商股份</t>
    <phoneticPr fontId="2" type="noConversion"/>
  </si>
  <si>
    <t>零售</t>
    <phoneticPr fontId="2" type="noConversion"/>
  </si>
  <si>
    <t>大秦铁路</t>
    <phoneticPr fontId="2" type="noConversion"/>
  </si>
  <si>
    <t>公路铁路运输</t>
    <phoneticPr fontId="2" type="noConversion"/>
  </si>
  <si>
    <t>象屿股份</t>
    <phoneticPr fontId="2" type="noConversion"/>
  </si>
  <si>
    <t>物流</t>
    <phoneticPr fontId="2" type="noConversion"/>
  </si>
  <si>
    <t>大东方</t>
    <phoneticPr fontId="2" type="noConversion"/>
  </si>
  <si>
    <t>交运设备服务</t>
    <phoneticPr fontId="2" type="noConversion"/>
  </si>
  <si>
    <t>茂业商业</t>
    <phoneticPr fontId="2" type="noConversion"/>
  </si>
  <si>
    <t>超市以及百货零售批发</t>
    <phoneticPr fontId="2" type="noConversion"/>
  </si>
  <si>
    <t>华达科技</t>
    <phoneticPr fontId="2" type="noConversion"/>
  </si>
  <si>
    <t>汽车零部件</t>
    <phoneticPr fontId="2" type="noConversion"/>
  </si>
  <si>
    <t>煤炭开采</t>
    <phoneticPr fontId="2" type="noConversion"/>
  </si>
  <si>
    <t>阳泉煤业</t>
    <phoneticPr fontId="2" type="noConversion"/>
  </si>
  <si>
    <t>四川成渝</t>
    <phoneticPr fontId="2" type="noConversion"/>
  </si>
  <si>
    <t>公路铁路运输</t>
    <phoneticPr fontId="2" type="noConversion"/>
  </si>
  <si>
    <t>明泰铝业</t>
    <phoneticPr fontId="2" type="noConversion"/>
  </si>
  <si>
    <t>有色冶炼加工</t>
    <phoneticPr fontId="2" type="noConversion"/>
  </si>
  <si>
    <t>山东高速</t>
    <phoneticPr fontId="2" type="noConversion"/>
  </si>
  <si>
    <t>公路铁路运输</t>
    <phoneticPr fontId="2" type="noConversion"/>
  </si>
  <si>
    <t>宁沪高速</t>
    <phoneticPr fontId="2" type="noConversion"/>
  </si>
  <si>
    <t>名称</t>
    <phoneticPr fontId="2" type="noConversion"/>
  </si>
  <si>
    <t>季报</t>
    <phoneticPr fontId="2" type="noConversion"/>
  </si>
  <si>
    <t>增持百分比</t>
    <phoneticPr fontId="2" type="noConversion"/>
  </si>
  <si>
    <t>每股收益</t>
    <phoneticPr fontId="2" type="noConversion"/>
  </si>
  <si>
    <t>股本（亿）</t>
    <phoneticPr fontId="2" type="noConversion"/>
  </si>
  <si>
    <t>股价</t>
    <phoneticPr fontId="2" type="noConversion"/>
  </si>
  <si>
    <t>每股收益与市价比率</t>
    <phoneticPr fontId="2" type="noConversion"/>
  </si>
  <si>
    <t>总资产收益率</t>
    <phoneticPr fontId="2" type="noConversion"/>
  </si>
  <si>
    <t>股息率</t>
    <phoneticPr fontId="2" type="noConversion"/>
  </si>
  <si>
    <t>每股净资产</t>
    <phoneticPr fontId="2" type="noConversion"/>
  </si>
  <si>
    <t>安全边际价格</t>
    <phoneticPr fontId="2" type="noConversion"/>
  </si>
  <si>
    <t>安全边际程度</t>
    <phoneticPr fontId="2" type="noConversion"/>
  </si>
  <si>
    <t>营业收入</t>
    <phoneticPr fontId="2" type="noConversion"/>
  </si>
  <si>
    <t>营业收入增长</t>
    <phoneticPr fontId="2" type="noConversion"/>
  </si>
  <si>
    <t>营业利润</t>
    <phoneticPr fontId="2" type="noConversion"/>
  </si>
  <si>
    <t>营业利润增长</t>
    <phoneticPr fontId="2" type="noConversion"/>
  </si>
  <si>
    <t>行业</t>
    <phoneticPr fontId="2" type="noConversion"/>
  </si>
  <si>
    <t>公路铁路运输</t>
    <phoneticPr fontId="2" type="noConversion"/>
  </si>
  <si>
    <t>海澜之家</t>
    <phoneticPr fontId="2" type="noConversion"/>
  </si>
  <si>
    <t>服装家纺</t>
    <phoneticPr fontId="2" type="noConversion"/>
  </si>
  <si>
    <t>华光股份</t>
    <phoneticPr fontId="2" type="noConversion"/>
  </si>
  <si>
    <t>电气设备</t>
    <phoneticPr fontId="2" type="noConversion"/>
  </si>
  <si>
    <t>时代出版</t>
    <phoneticPr fontId="2" type="noConversion"/>
  </si>
  <si>
    <t>传媒</t>
    <phoneticPr fontId="2" type="noConversion"/>
  </si>
  <si>
    <t>上海能源</t>
    <phoneticPr fontId="2" type="noConversion"/>
  </si>
  <si>
    <t>煤炭开采</t>
    <phoneticPr fontId="2" type="noConversion"/>
  </si>
  <si>
    <t>新材料</t>
    <phoneticPr fontId="2" type="noConversion"/>
  </si>
  <si>
    <t>方大炭素（4.71）</t>
    <phoneticPr fontId="2" type="noConversion"/>
  </si>
  <si>
    <t>营业利润/营业收入</t>
    <phoneticPr fontId="2" type="noConversion"/>
  </si>
  <si>
    <t>鄂武商A</t>
    <phoneticPr fontId="2" type="noConversion"/>
  </si>
  <si>
    <t>零售</t>
    <phoneticPr fontId="2" type="noConversion"/>
  </si>
  <si>
    <t>天神娱乐</t>
    <phoneticPr fontId="2" type="noConversion"/>
  </si>
  <si>
    <t>传媒</t>
    <phoneticPr fontId="2" type="noConversion"/>
  </si>
  <si>
    <t>康欣新材</t>
    <phoneticPr fontId="2" type="noConversion"/>
  </si>
  <si>
    <t>包装印刷</t>
    <phoneticPr fontId="2" type="noConversion"/>
  </si>
  <si>
    <t>中牧股份</t>
    <phoneticPr fontId="2" type="noConversion"/>
  </si>
  <si>
    <t>农业服务</t>
    <phoneticPr fontId="2" type="noConversion"/>
  </si>
  <si>
    <t>尖峰集团</t>
    <phoneticPr fontId="2" type="noConversion"/>
  </si>
  <si>
    <t>建筑材料</t>
    <phoneticPr fontId="2" type="noConversion"/>
  </si>
  <si>
    <t>鸿达兴业</t>
    <phoneticPr fontId="2" type="noConversion"/>
  </si>
  <si>
    <t>基础化学</t>
    <phoneticPr fontId="2" type="noConversion"/>
  </si>
  <si>
    <t>拉芳家化</t>
    <phoneticPr fontId="2" type="noConversion"/>
  </si>
  <si>
    <t>化学制品</t>
    <phoneticPr fontId="2" type="noConversion"/>
  </si>
  <si>
    <t>周大生</t>
    <phoneticPr fontId="2" type="noConversion"/>
  </si>
  <si>
    <t>家用轻工</t>
    <phoneticPr fontId="2" type="noConversion"/>
  </si>
  <si>
    <t>韵达股份</t>
    <phoneticPr fontId="2" type="noConversion"/>
  </si>
  <si>
    <t>物流</t>
    <phoneticPr fontId="2" type="noConversion"/>
  </si>
  <si>
    <t>房地产开发</t>
    <phoneticPr fontId="2" type="noConversion"/>
  </si>
  <si>
    <t>华润三九</t>
    <phoneticPr fontId="2" type="noConversion"/>
  </si>
  <si>
    <t>中药</t>
    <phoneticPr fontId="2" type="noConversion"/>
  </si>
  <si>
    <t>美的集团</t>
    <phoneticPr fontId="2" type="noConversion"/>
  </si>
  <si>
    <t>白色家电</t>
    <phoneticPr fontId="2" type="noConversion"/>
  </si>
  <si>
    <t>东阿阿胶</t>
    <phoneticPr fontId="2" type="noConversion"/>
  </si>
  <si>
    <t>凌霄泵业</t>
    <phoneticPr fontId="2" type="noConversion"/>
  </si>
  <si>
    <t>通用设备</t>
    <phoneticPr fontId="2" type="noConversion"/>
  </si>
  <si>
    <t>光大嘉宝</t>
    <phoneticPr fontId="2" type="noConversion"/>
  </si>
  <si>
    <t>华懋科技</t>
  </si>
  <si>
    <t>汽车零部件</t>
    <phoneticPr fontId="2" type="noConversion"/>
  </si>
  <si>
    <t>股票名称</t>
    <phoneticPr fontId="2" type="noConversion"/>
  </si>
  <si>
    <t>6年平均每股收益</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</si>
  <si>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</si>
  <si>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</si>
  <si>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</si>
  <si>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</si>
  <si>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</si>
  <si>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</si>
  <si>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</si>
  <si>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</si>
  <si>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</si>
  <si>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</si>
  <si>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</si>
  <si>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</si>
  <si>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</si>
  <si>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</si>
  <si>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</si>
  <si>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</si>
  <si>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</si>
  <si>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</si>
  <si>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</si>
  <si>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</si>
  <si>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</si>
  <si>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</si>
  <si>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</si>
  <si>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</si>
  <si>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</si>
  <si>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</si>
  <si>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</si>
  <si>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</si>
  <si>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</si>
  <si>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</si>
  <si>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</si>
  <si>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</si>
  <si>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</si>
  <si>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</si>
  <si>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</si>
  <si>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</si>
  <si>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</si>
  <si>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</si>
  <si>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</si>
  <si>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</si>
  <si>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</si>
  <si>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</si>
  <si>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</si>
  <si>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</si>
  <si>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</si>
  <si>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</si>
  <si>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</si>
  <si>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</si>
  <si>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</si>
  <si>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</si>
  <si>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</si>
  <si>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</si>
  <si>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</si>
  <si>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</si>
  <si>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</si>
  <si>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</si>
  <si>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</si>
  <si>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</si>
  <si>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</si>
  <si>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</si>
  <si>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</si>
  <si>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</si>
  <si>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</si>
  <si>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</si>
  <si>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</si>
  <si>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</si>
  <si>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</si>
  <si>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</si>
  <si>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</si>
  <si>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</si>
  <si>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</si>
  <si>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</si>
  <si>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</si>
  <si>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</si>
  <si>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</si>
  <si>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</si>
  <si>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</si>
  <si>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</si>
  <si>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</si>
  <si>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</si>
  <si>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</si>
  <si>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</si>
  <si>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</si>
  <si>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</si>
  <si>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</si>
  <si>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</si>
  <si>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</si>
  <si>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</si>
  <si>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</si>
  <si>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</si>
  <si>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</si>
  <si>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</si>
  <si>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</si>
  <si>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</si>
  <si>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</si>
  <si>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</si>
  <si>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</si>
  <si>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</si>
  <si>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</si>
  <si>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</si>
  <si>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</si>
  <si>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</si>
  <si>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</si>
  <si>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</si>
  <si>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</si>
  <si>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</si>
  <si>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</si>
  <si>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</si>
  <si>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</si>
  <si>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</si>
  <si>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</si>
  <si>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</si>
  <si>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</si>
  <si>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</si>
  <si>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选股逻辑</t>
    <phoneticPr fontId="2" type="noConversion"/>
  </si>
  <si>
    <t>每股收益率&gt;7%</t>
  </si>
  <si>
    <t>每股收益率&gt;7%</t>
    <phoneticPr fontId="2" type="noConversion"/>
  </si>
  <si>
    <t>低价优质股</t>
  </si>
  <si>
    <t>1资本投入</t>
    <phoneticPr fontId="2" type="noConversion"/>
  </si>
  <si>
    <t>流动资产
流动资产减所有负债和优先级高于该证券的权益</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</si>
  <si>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</si>
  <si>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</si>
  <si>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</si>
  <si>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</si>
  <si>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</si>
  <si>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</si>
  <si>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</si>
  <si>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</si>
  <si>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</si>
  <si>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</si>
  <si>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</si>
  <si>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</si>
  <si>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</si>
  <si>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</si>
  <si>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</si>
  <si>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</si>
  <si>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</si>
  <si>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</si>
  <si>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</si>
  <si>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</si>
  <si>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</si>
  <si>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</si>
  <si>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</si>
  <si>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</si>
  <si>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</si>
  <si>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</si>
  <si>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</si>
  <si>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</si>
  <si>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</si>
  <si>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</si>
  <si>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</si>
  <si>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</si>
  <si>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</si>
  <si>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</si>
  <si>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</si>
  <si>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</si>
  <si>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</si>
  <si>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</si>
  <si>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</si>
  <si>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</si>
  <si>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</si>
  <si>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</si>
  <si>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</si>
  <si>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</si>
  <si>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</si>
  <si>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</si>
  <si>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</si>
  <si>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</si>
  <si>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</si>
  <si>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</si>
  <si>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</si>
  <si>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</si>
  <si>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</si>
  <si>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</si>
  <si>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</si>
  <si>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</si>
  <si>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</si>
  <si>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</si>
  <si>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</si>
  <si>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</si>
  <si>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</si>
  <si>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</si>
  <si>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</si>
  <si>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</si>
  <si>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</si>
  <si>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</si>
  <si>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</si>
  <si>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</si>
  <si>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</si>
  <si>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</si>
  <si>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</si>
  <si>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</si>
  <si>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</si>
  <si>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</si>
  <si>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永安药业</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</si>
  <si>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</si>
  <si>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</si>
  <si>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</si>
  <si>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</si>
  <si>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宁波精达</t>
    <phoneticPr fontId="2" type="noConversion"/>
  </si>
  <si>
    <t>盈利误导手段
1 虚增商誉无形资产
2 租赁物增值
3 按市场价值计算股票股息导致虚增</t>
    <phoneticPr fontId="2" type="noConversion"/>
  </si>
  <si>
    <r>
      <t xml:space="preserve">1市场竞争
</t>
    </r>
    <r>
      <rPr>
        <sz val="11"/>
        <color rgb="FFFF0000"/>
        <rFont val="宋体"/>
        <family val="3"/>
        <charset val="134"/>
        <scheme val="minor"/>
      </rPr>
      <t xml:space="preserve">2毛利率下降
</t>
    </r>
    <r>
      <rPr>
        <sz val="11"/>
        <color theme="1"/>
        <rFont val="宋体"/>
        <family val="3"/>
        <charset val="134"/>
        <scheme val="minor"/>
      </rPr>
      <t xml:space="preserve">3市场开拓
4高素质技术工人流动
5合同履约
6应收账款
7汇率风险
</t>
    </r>
    <r>
      <rPr>
        <sz val="11"/>
        <color rgb="FFFF0000"/>
        <rFont val="宋体"/>
        <family val="3"/>
        <charset val="134"/>
        <scheme val="minor"/>
      </rPr>
      <t>8存货风险</t>
    </r>
    <phoneticPr fontId="2" type="noConversion"/>
  </si>
  <si>
    <t xml:space="preserve">41（6家行业平均）
</t>
    <phoneticPr fontId="2" type="noConversion"/>
  </si>
  <si>
    <t>资产负债比率</t>
    <phoneticPr fontId="2" type="noConversion"/>
  </si>
  <si>
    <t>收入来源</t>
    <phoneticPr fontId="2" type="noConversion"/>
  </si>
  <si>
    <t>永安药业</t>
    <phoneticPr fontId="2" type="noConversion"/>
  </si>
  <si>
    <t>无</t>
    <phoneticPr fontId="2" type="noConversion"/>
  </si>
  <si>
    <t>无</t>
    <phoneticPr fontId="2" type="noConversion"/>
  </si>
  <si>
    <t>3w吨新项目制造智能化
ARP代替ERP</t>
    <phoneticPr fontId="2" type="noConversion"/>
  </si>
  <si>
    <t>市场规模、品牌</t>
    <phoneticPr fontId="2" type="noConversion"/>
  </si>
  <si>
    <t>是</t>
    <phoneticPr fontId="2" type="noConversion"/>
  </si>
  <si>
    <t>华懋科技</t>
    <phoneticPr fontId="2" type="noConversion"/>
  </si>
  <si>
    <t>准备金
折旧和摊销</t>
    <phoneticPr fontId="2" type="noConversion"/>
  </si>
  <si>
    <t>规模经济</t>
    <phoneticPr fontId="2" type="noConversion"/>
  </si>
  <si>
    <t>成本优势</t>
    <phoneticPr fontId="2" type="noConversion"/>
  </si>
  <si>
    <t>品牌</t>
    <phoneticPr fontId="2" type="noConversion"/>
  </si>
  <si>
    <t>跨学科的技术壁垒
剔除老牌公司的技术，经济竞争优势</t>
    <phoneticPr fontId="2" type="noConversion"/>
  </si>
  <si>
    <t>技术开发</t>
    <phoneticPr fontId="2" type="noConversion"/>
  </si>
  <si>
    <t>营销或销售优势</t>
    <phoneticPr fontId="2" type="noConversion"/>
  </si>
  <si>
    <t>产品质量和可靠性建立起声誉，并且
1客户认为产品对他们非常重要
2质量不佳功能不全会带来严重问题
3竞争对手只能供应一小部分市场需求
4客户运营成本中，该产品只占一小部分</t>
    <phoneticPr fontId="2" type="noConversion"/>
  </si>
  <si>
    <t>卖给很多小客户，
而不是只卖给大客户</t>
    <phoneticPr fontId="2" type="noConversion"/>
  </si>
  <si>
    <t>高于平均2%-3%的利润率就是很好的投资对象</t>
    <phoneticPr fontId="2" type="noConversion"/>
  </si>
  <si>
    <t>第三要素企业投资特征</t>
    <phoneticPr fontId="2" type="noConversion"/>
  </si>
  <si>
    <t>任何一支普通股价格相对于整体股市出现大幅波动，
都是因为金融界人士对这只股票的评价发生了变化</t>
    <phoneticPr fontId="2" type="noConversion"/>
  </si>
  <si>
    <t>第四个要素：保守投资价格</t>
    <phoneticPr fontId="2" type="noConversion"/>
  </si>
  <si>
    <t>评价组成</t>
    <phoneticPr fontId="2" type="noConversion"/>
  </si>
  <si>
    <t>投资原则</t>
    <phoneticPr fontId="2" type="noConversion"/>
  </si>
  <si>
    <t>未来利润增长可能性越高，
投资者愿意承受的市盈率也就越高</t>
    <phoneticPr fontId="2" type="noConversion"/>
  </si>
  <si>
    <t>一只股票价格是便宜，
还是偏高，唯一的检验标准不是
当前的价格比之前的高还是低，
而是这家公司的基本面高于还是
低于当前金融界的评价</t>
    <phoneticPr fontId="2" type="noConversion"/>
  </si>
  <si>
    <t>对公司的评价</t>
    <phoneticPr fontId="2" type="noConversion"/>
  </si>
  <si>
    <t>对整体投资吸引力，
利率是最重要的因素</t>
    <phoneticPr fontId="2" type="noConversion"/>
  </si>
  <si>
    <t>风险分析</t>
    <phoneticPr fontId="2" type="noConversion"/>
  </si>
  <si>
    <t>风险最低，符合投资三要素但目前
在金融界的评价并不非常高。
第二低，三要素符合程度高，评价以及市盈率与基本面相符
第三低，三要素非常符合，在金融界人尽皆知，评价高于基本面
风险最高的公司，金融界对这类公司的评价，远高于当前所能支撑的程度</t>
    <phoneticPr fontId="2" type="noConversion"/>
  </si>
  <si>
    <t>低成本的生产</t>
    <phoneticPr fontId="2" type="noConversion"/>
  </si>
  <si>
    <t>第一要素 生产、市场营销研发以及财务方面的优势</t>
    <phoneticPr fontId="2" type="noConversion"/>
  </si>
  <si>
    <t>经济景气时，
高成本公司利润增长具有相对优势</t>
    <phoneticPr fontId="2" type="noConversion"/>
  </si>
  <si>
    <t>强有力的营销组织</t>
    <phoneticPr fontId="2" type="noConversion"/>
  </si>
  <si>
    <t>经济不景气，
提供安全性</t>
    <phoneticPr fontId="2" type="noConversion"/>
  </si>
  <si>
    <t>创造公司成长
所需的大部分资金</t>
    <phoneticPr fontId="2" type="noConversion"/>
  </si>
  <si>
    <t>留意客户
需求变化</t>
    <phoneticPr fontId="2" type="noConversion"/>
  </si>
  <si>
    <t>争取
潜在客户</t>
    <phoneticPr fontId="2" type="noConversion"/>
  </si>
  <si>
    <t>持续衡量
成本收益比</t>
    <phoneticPr fontId="2" type="noConversion"/>
  </si>
  <si>
    <t>杰出的研究和技术成果</t>
    <phoneticPr fontId="2" type="noConversion"/>
  </si>
  <si>
    <t>技术努力的方向：
1是提供更好的新产品
2是更好的方法更低的成本
提供服务</t>
    <phoneticPr fontId="2" type="noConversion"/>
  </si>
  <si>
    <t>研究的效率：
研究人员的能力和创新
技术专长的研究人员的通力合作
新产品市场需求
营销出去和足够大的利润
控制上面复杂关系的能力
是保守投资要素</t>
    <phoneticPr fontId="2" type="noConversion"/>
  </si>
  <si>
    <t>财务能力</t>
    <phoneticPr fontId="2" type="noConversion"/>
  </si>
  <si>
    <t>准确知道，每样产品能赚多少钱</t>
    <phoneticPr fontId="2" type="noConversion"/>
  </si>
  <si>
    <t>预算和会计作业，创造
预警，发现威胁利润的
不利因素</t>
    <phoneticPr fontId="2" type="noConversion"/>
  </si>
  <si>
    <t>了解各成本构成因素占比，
包括生产制造销售和研究，可以看出哪些地方
值得花精力降低成本</t>
    <phoneticPr fontId="2" type="noConversion"/>
  </si>
  <si>
    <t>第二个要素人的因素</t>
    <phoneticPr fontId="2" type="noConversion"/>
  </si>
  <si>
    <t>公司必须不断努力，让
每个员工，不论是新加入还是高级
管理人员，都觉得公司是工作的好地方
这种感觉存在于内心，
而不仅是宣传
1尊重善待和关怀每一位员工
2养老金和利润分享计划
以人为本的政策和策略的企业能够从中获得益处</t>
    <phoneticPr fontId="2" type="noConversion"/>
  </si>
  <si>
    <t>公司管理层以身作则，遵循公司成长所要求的纪律
真正为公司谋取长期利润而努力</t>
    <phoneticPr fontId="2" type="noConversion"/>
  </si>
  <si>
    <t>公司必须认识到它所处的这个世界变化越来越快
公司的想法和计划必须对目前正在做的事情提出挑战，
不是偶尔，而是一而再再而三，理所当然处事方式</t>
    <phoneticPr fontId="2" type="noConversion"/>
  </si>
  <si>
    <t>永安药业</t>
    <phoneticPr fontId="2" type="noConversion"/>
  </si>
  <si>
    <t>平均值</t>
    <phoneticPr fontId="2" type="noConversion"/>
  </si>
  <si>
    <t>1安全环保风险
2经营风险
3汇率风险
4管理风险</t>
    <phoneticPr fontId="2" type="noConversion"/>
  </si>
  <si>
    <t>永安药业</t>
    <phoneticPr fontId="2" type="noConversion"/>
  </si>
  <si>
    <t>股票</t>
    <phoneticPr fontId="2" type="noConversion"/>
  </si>
  <si>
    <t>无</t>
    <phoneticPr fontId="2" type="noConversion"/>
  </si>
  <si>
    <t>是</t>
    <phoneticPr fontId="2" type="noConversion"/>
  </si>
  <si>
    <t>进行了股票融资</t>
    <phoneticPr fontId="2" type="noConversion"/>
  </si>
  <si>
    <t>（前五客户）40%</t>
    <phoneticPr fontId="2" type="noConversion"/>
  </si>
  <si>
    <t>第四类</t>
    <phoneticPr fontId="2" type="noConversion"/>
  </si>
  <si>
    <t>三安光电</t>
    <phoneticPr fontId="2" type="noConversion"/>
  </si>
  <si>
    <t>内在价值</t>
    <phoneticPr fontId="2" type="noConversion"/>
  </si>
  <si>
    <t>能力范围</t>
    <phoneticPr fontId="2" type="noConversion"/>
  </si>
  <si>
    <t>投资对象</t>
    <phoneticPr fontId="2" type="noConversion"/>
  </si>
  <si>
    <t>产品</t>
    <phoneticPr fontId="2" type="noConversion"/>
  </si>
  <si>
    <t>客户</t>
    <phoneticPr fontId="2" type="noConversion"/>
  </si>
  <si>
    <t>运营</t>
    <phoneticPr fontId="2" type="noConversion"/>
  </si>
  <si>
    <t>产品或服务</t>
    <phoneticPr fontId="2" type="noConversion"/>
  </si>
  <si>
    <t>用途是什么</t>
    <phoneticPr fontId="2" type="noConversion"/>
  </si>
  <si>
    <t>消费者是否需要</t>
    <phoneticPr fontId="2" type="noConversion"/>
  </si>
  <si>
    <t>需求是否稳定将来如何满足</t>
    <phoneticPr fontId="2" type="noConversion"/>
  </si>
  <si>
    <t>提高产品或服务，
销售业绩不受影响可能性</t>
    <phoneticPr fontId="2" type="noConversion"/>
  </si>
  <si>
    <t>与替代品相比，有何独特之处，
消费者是否在意，多大程度在意</t>
    <phoneticPr fontId="2" type="noConversion"/>
  </si>
  <si>
    <t>谁是客户</t>
    <phoneticPr fontId="2" type="noConversion"/>
  </si>
  <si>
    <t>分散还是集中</t>
    <phoneticPr fontId="2" type="noConversion"/>
  </si>
  <si>
    <t>客户财务状况</t>
    <phoneticPr fontId="2" type="noConversion"/>
  </si>
  <si>
    <t>行业评价
有时候事情很明显，容易理解，有时候对某一行业得评价起起落落，原因是看中某种背景时间的影响力甚于其他背景事件
投资者必须不断探索研究，弄清楚评价比实际有利或不利</t>
    <phoneticPr fontId="2" type="noConversion"/>
  </si>
  <si>
    <t>如何销售</t>
    <phoneticPr fontId="2" type="noConversion"/>
  </si>
  <si>
    <t>市场地理分布</t>
    <phoneticPr fontId="2" type="noConversion"/>
  </si>
  <si>
    <t>供应链稳固</t>
    <phoneticPr fontId="2" type="noConversion"/>
  </si>
  <si>
    <t>劳资关系</t>
    <phoneticPr fontId="2" type="noConversion"/>
  </si>
  <si>
    <t>存在风险</t>
    <phoneticPr fontId="2" type="noConversion"/>
  </si>
  <si>
    <t>公司生命周期</t>
    <phoneticPr fontId="2" type="noConversion"/>
  </si>
  <si>
    <t>业务模式</t>
    <phoneticPr fontId="2" type="noConversion"/>
  </si>
  <si>
    <t>产品品牌</t>
    <phoneticPr fontId="2" type="noConversion"/>
  </si>
  <si>
    <t>商品特色</t>
    <phoneticPr fontId="2" type="noConversion"/>
  </si>
  <si>
    <t>供货来源成本</t>
    <phoneticPr fontId="2" type="noConversion"/>
  </si>
  <si>
    <t>配送连</t>
    <phoneticPr fontId="2" type="noConversion"/>
  </si>
  <si>
    <t>客户习惯和偏好</t>
    <phoneticPr fontId="2" type="noConversion"/>
  </si>
  <si>
    <t>业务组织和设计</t>
    <phoneticPr fontId="2" type="noConversion"/>
  </si>
  <si>
    <t>对经济和市场变化
做出响应的能力</t>
    <phoneticPr fontId="2" type="noConversion"/>
  </si>
  <si>
    <r>
      <rPr>
        <b/>
        <sz val="14"/>
        <color theme="1"/>
        <rFont val="宋体"/>
        <family val="3"/>
        <charset val="134"/>
        <scheme val="minor"/>
      </rPr>
      <t>重置成本法</t>
    </r>
    <r>
      <rPr>
        <sz val="11"/>
        <color theme="1"/>
        <rFont val="宋体"/>
        <family val="2"/>
        <scheme val="minor"/>
      </rPr>
      <t xml:space="preserve">
要对一个持续经营的企业进行估值，可以考虑如果以目前成本，完全新建一个类似企业需要多大的成本，也就是重置价值</t>
    </r>
    <phoneticPr fontId="2" type="noConversion"/>
  </si>
  <si>
    <t>现金</t>
    <phoneticPr fontId="2" type="noConversion"/>
  </si>
  <si>
    <t>证券</t>
    <phoneticPr fontId="2" type="noConversion"/>
  </si>
  <si>
    <t>应收款</t>
    <phoneticPr fontId="2" type="noConversion"/>
  </si>
  <si>
    <t>库存</t>
    <phoneticPr fontId="2" type="noConversion"/>
  </si>
  <si>
    <t>面值</t>
    <phoneticPr fontId="2" type="noConversion"/>
  </si>
  <si>
    <t>固定资产</t>
    <phoneticPr fontId="2" type="noConversion"/>
  </si>
  <si>
    <t>商誉</t>
    <phoneticPr fontId="2" type="noConversion"/>
  </si>
  <si>
    <t>不计</t>
    <phoneticPr fontId="2" type="noConversion"/>
  </si>
  <si>
    <t>调整</t>
    <phoneticPr fontId="2" type="noConversion"/>
  </si>
  <si>
    <t>隐藏资产</t>
    <phoneticPr fontId="2" type="noConversion"/>
  </si>
  <si>
    <t>研发投入</t>
    <phoneticPr fontId="2" type="noConversion"/>
  </si>
  <si>
    <t>客户关系价值</t>
    <phoneticPr fontId="2" type="noConversion"/>
  </si>
  <si>
    <t>负债</t>
    <phoneticPr fontId="2" type="noConversion"/>
  </si>
  <si>
    <t>账面和市场较高者</t>
    <phoneticPr fontId="2" type="noConversion"/>
  </si>
  <si>
    <t>产品质量</t>
    <phoneticPr fontId="2" type="noConversion"/>
  </si>
  <si>
    <t>工艺或配方</t>
    <phoneticPr fontId="2" type="noConversion"/>
  </si>
  <si>
    <t>员工培训</t>
    <phoneticPr fontId="2" type="noConversion"/>
  </si>
  <si>
    <t>特殊生产配送</t>
    <phoneticPr fontId="2" type="noConversion"/>
  </si>
  <si>
    <t>产品寿命乘以年均研发投入
17年专利，5%研发营收占比，
估值为当前营收85%</t>
    <phoneticPr fontId="2" type="noConversion"/>
  </si>
  <si>
    <t>销售管理支出乘以一个因子
一般为费用的1-3倍</t>
    <phoneticPr fontId="2" type="noConversion"/>
  </si>
  <si>
    <r>
      <rPr>
        <b/>
        <sz val="14"/>
        <color theme="1"/>
        <rFont val="宋体"/>
        <family val="3"/>
        <charset val="134"/>
        <scheme val="minor"/>
      </rPr>
      <t>盈余估值</t>
    </r>
    <r>
      <rPr>
        <sz val="11"/>
        <color theme="1"/>
        <rFont val="宋体"/>
        <family val="2"/>
        <scheme val="minor"/>
      </rPr>
      <t xml:space="preserve">
现时盈余除以资本成本V=E/k
现时盈余是当前盈余
资本成本公司债务和股权成本的加权平均，假设没有增长
盈余调整：一次性费用和非现金费用（折旧和摊销）</t>
    </r>
    <phoneticPr fontId="2" type="noConversion"/>
  </si>
  <si>
    <t>当前盈余</t>
    <phoneticPr fontId="2" type="noConversion"/>
  </si>
  <si>
    <t>债务成本</t>
    <phoneticPr fontId="2" type="noConversion"/>
  </si>
  <si>
    <t>股权成本</t>
    <phoneticPr fontId="2" type="noConversion"/>
  </si>
  <si>
    <r>
      <rPr>
        <b/>
        <sz val="14"/>
        <color theme="1"/>
        <rFont val="宋体"/>
        <family val="3"/>
        <charset val="134"/>
        <scheme val="minor"/>
      </rPr>
      <t>成长价值</t>
    </r>
    <r>
      <rPr>
        <sz val="11"/>
        <color theme="1"/>
        <rFont val="宋体"/>
        <family val="2"/>
        <scheme val="minor"/>
      </rPr>
      <t xml:space="preserve">
V=D1/(k-g)
现时盈余公式中分母减去增长率g</t>
    </r>
    <phoneticPr fontId="2" type="noConversion"/>
  </si>
  <si>
    <t>现金流折现</t>
    <phoneticPr fontId="2" type="noConversion"/>
  </si>
  <si>
    <t>现金流</t>
    <phoneticPr fontId="2" type="noConversion"/>
  </si>
  <si>
    <t>EBIT</t>
    <phoneticPr fontId="2" type="noConversion"/>
  </si>
  <si>
    <t>EBITDA</t>
    <phoneticPr fontId="2" type="noConversion"/>
  </si>
  <si>
    <t>扣除税务和利息前</t>
    <phoneticPr fontId="2" type="noConversion"/>
  </si>
  <si>
    <t>加上折旧和摊销</t>
    <phoneticPr fontId="2" type="noConversion"/>
  </si>
  <si>
    <t>现金流变量</t>
    <phoneticPr fontId="2" type="noConversion"/>
  </si>
  <si>
    <t>销售量</t>
    <phoneticPr fontId="2" type="noConversion"/>
  </si>
  <si>
    <t>利润率</t>
    <phoneticPr fontId="2" type="noConversion"/>
  </si>
  <si>
    <t>资本性支出</t>
    <phoneticPr fontId="2" type="noConversion"/>
  </si>
  <si>
    <t>远期现金流</t>
    <phoneticPr fontId="2" type="noConversion"/>
  </si>
  <si>
    <t>所估计最后一年的现金流乘以一个因子
这个因子由增长率和资本成本的关系决定,其值等于1除以二者之差
例如：资本成本10%，成长率5%，这个因子等于20（1/(10%-5%))</t>
    <phoneticPr fontId="2" type="noConversion"/>
  </si>
  <si>
    <t>盈余估值</t>
    <phoneticPr fontId="2" type="noConversion"/>
  </si>
  <si>
    <t>WACC(加权平均资本成本)</t>
    <phoneticPr fontId="2" type="noConversion"/>
  </si>
  <si>
    <t>CAPM（资产定价模型)</t>
    <phoneticPr fontId="2" type="noConversion"/>
  </si>
  <si>
    <t>长期国债</t>
    <phoneticPr fontId="2" type="noConversion"/>
  </si>
  <si>
    <t xml:space="preserve">参照标准，资本市场上其他参与者为风险类似的
企业融资项目会给投资者多少股权回报，以
吸引股权投资
例如，高风险投资项目股权成本，可以咨询类似企业给
风险投资开出的回报条件。风险较低的企业，可将二次
发行股票的蓝筹企业作为参照
</t>
    <phoneticPr fontId="2" type="noConversion"/>
  </si>
  <si>
    <t>风险溢价乘以beta</t>
    <phoneticPr fontId="2" type="noConversion"/>
  </si>
  <si>
    <t>折现率</t>
    <phoneticPr fontId="2" type="noConversion"/>
  </si>
  <si>
    <t>参照盈余估值</t>
    <phoneticPr fontId="2" type="noConversion"/>
  </si>
  <si>
    <t>折现率</t>
    <phoneticPr fontId="2" type="noConversion"/>
  </si>
  <si>
    <t>宁波精达</t>
    <phoneticPr fontId="2" type="noConversion"/>
  </si>
  <si>
    <t>估值</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</si>
</sst>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00_);[Red]\(0.00\)"/>
    <numFmt numFmtId="178" formatCode="0.000_ "/>
  </numFmts>
  <fonts count="12"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2"/>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
      <sz val="11"/>
      <color theme="1"/>
      <name val="宋体"/>
      <family val="3"/>
      <charset val="134"/>
      <scheme val="minor"/>
    </font>
    <font>
      <b/>
      <sz val="10"/>
      <color theme="1"/>
      <name val="宋体"/>
      <family val="3"/>
      <charset val="134"/>
      <scheme val="minor"/>
    </font>
    <font>
      <b/>
      <sz val="12"/>
      <color theme="1"/>
      <name val="宋体"/>
      <family val="3"/>
      <charset val="134"/>
      <scheme val="minor"/>
    </font>
    <font>
      <b/>
      <sz val="14"/>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79">
    <xf numFmtId="0" fontId="0" fillId="0" borderId="0" xfId="0"/>
    <xf numFmtId="0" fontId="1" fillId="0" borderId="0" xfId="0" applyFont="1"/>
    <xf numFmtId="10" fontId="1" fillId="0" borderId="0" xfId="0" applyNumberFormat="1" applyFont="1"/>
    <xf numFmtId="176" fontId="1" fillId="0" borderId="0" xfId="0" applyNumberFormat="1" applyFont="1"/>
    <xf numFmtId="14" fontId="0" fillId="0" borderId="0" xfId="0" applyNumberFormat="1" applyAlignment="1">
      <alignment vertical="center" wrapText="1"/>
    </xf>
    <xf numFmtId="10" fontId="0" fillId="0" borderId="0" xfId="0" applyNumberFormat="1"/>
    <xf numFmtId="0" fontId="0" fillId="0" borderId="0" xfId="0" applyAlignment="1">
      <alignment vertical="center" wrapText="1"/>
    </xf>
    <xf numFmtId="176" fontId="0" fillId="0" borderId="0" xfId="0" applyNumberFormat="1"/>
    <xf numFmtId="14" fontId="3" fillId="0" borderId="0" xfId="0" applyNumberFormat="1" applyFont="1" applyAlignment="1">
      <alignment vertical="center" wrapText="1"/>
    </xf>
    <xf numFmtId="0" fontId="4" fillId="0" borderId="0" xfId="0" applyFont="1"/>
    <xf numFmtId="10" fontId="4" fillId="0" borderId="0" xfId="0" applyNumberFormat="1" applyFont="1"/>
    <xf numFmtId="0" fontId="4" fillId="0" borderId="0" xfId="0" applyFont="1" applyAlignment="1">
      <alignment vertical="center" wrapText="1"/>
    </xf>
    <xf numFmtId="176" fontId="4" fillId="0" borderId="0" xfId="0" applyNumberFormat="1" applyFont="1"/>
    <xf numFmtId="10" fontId="0" fillId="0" borderId="0" xfId="0" applyNumberFormat="1" applyAlignment="1">
      <alignment vertical="center" wrapText="1"/>
    </xf>
    <xf numFmtId="176" fontId="0" fillId="0" borderId="0" xfId="0" applyNumberFormat="1" applyAlignment="1">
      <alignment vertical="center" wrapText="1"/>
    </xf>
    <xf numFmtId="10" fontId="5" fillId="0" borderId="0" xfId="1" applyNumberFormat="1" applyAlignment="1">
      <alignment vertical="center" wrapText="1"/>
    </xf>
    <xf numFmtId="176" fontId="5" fillId="0" borderId="0" xfId="1" applyNumberFormat="1" applyAlignment="1">
      <alignment vertical="center" wrapText="1"/>
    </xf>
    <xf numFmtId="0" fontId="0" fillId="2" borderId="0" xfId="0" applyFill="1"/>
    <xf numFmtId="10" fontId="0" fillId="2" borderId="0" xfId="0" applyNumberFormat="1" applyFill="1"/>
    <xf numFmtId="0" fontId="0" fillId="2" borderId="0" xfId="0" applyFill="1" applyAlignment="1">
      <alignment vertical="center" wrapText="1"/>
    </xf>
    <xf numFmtId="176" fontId="0" fillId="2" borderId="0" xfId="0" applyNumberFormat="1" applyFill="1"/>
    <xf numFmtId="9" fontId="0" fillId="0" borderId="0" xfId="0" applyNumberFormat="1"/>
    <xf numFmtId="14" fontId="0" fillId="3" borderId="0" xfId="0" applyNumberFormat="1" applyFill="1" applyAlignment="1">
      <alignment vertical="center" wrapText="1"/>
    </xf>
    <xf numFmtId="0" fontId="0" fillId="3" borderId="0" xfId="0" applyFill="1" applyAlignment="1">
      <alignment vertical="center" wrapText="1"/>
    </xf>
    <xf numFmtId="10" fontId="0" fillId="3" borderId="0" xfId="0" applyNumberFormat="1" applyFill="1" applyAlignment="1">
      <alignment vertical="center" wrapText="1"/>
    </xf>
    <xf numFmtId="176" fontId="0" fillId="3" borderId="0" xfId="0" applyNumberFormat="1" applyFill="1" applyAlignment="1">
      <alignment vertical="center" wrapText="1"/>
    </xf>
    <xf numFmtId="10" fontId="5" fillId="3" borderId="0" xfId="1" applyNumberFormat="1" applyFill="1" applyAlignment="1">
      <alignment vertical="center" wrapText="1"/>
    </xf>
    <xf numFmtId="176" fontId="5" fillId="3" borderId="0" xfId="1" applyNumberFormat="1" applyFill="1" applyAlignment="1">
      <alignment vertical="center" wrapText="1"/>
    </xf>
    <xf numFmtId="10" fontId="0" fillId="3" borderId="0" xfId="0" applyNumberFormat="1" applyFill="1"/>
    <xf numFmtId="0" fontId="0" fillId="3" borderId="0" xfId="0" applyFill="1"/>
    <xf numFmtId="177" fontId="1" fillId="0" borderId="0" xfId="0" applyNumberFormat="1" applyFont="1" applyAlignment="1">
      <alignment wrapText="1"/>
    </xf>
    <xf numFmtId="177" fontId="0" fillId="3" borderId="0" xfId="0" applyNumberFormat="1" applyFill="1" applyAlignment="1">
      <alignment vertical="center" wrapText="1"/>
    </xf>
    <xf numFmtId="177" fontId="0" fillId="2" borderId="0" xfId="0" applyNumberFormat="1" applyFill="1"/>
    <xf numFmtId="177" fontId="0" fillId="0" borderId="0" xfId="0" applyNumberFormat="1"/>
    <xf numFmtId="177" fontId="4" fillId="0" borderId="0" xfId="0" applyNumberFormat="1" applyFont="1"/>
    <xf numFmtId="177" fontId="0" fillId="0" borderId="0" xfId="0" applyNumberFormat="1" applyAlignment="1">
      <alignment vertical="center" wrapText="1"/>
    </xf>
    <xf numFmtId="177" fontId="1" fillId="0" borderId="0" xfId="0" applyNumberFormat="1" applyFont="1"/>
    <xf numFmtId="10" fontId="6" fillId="0" borderId="0" xfId="0" applyNumberFormat="1" applyFont="1"/>
    <xf numFmtId="10" fontId="4" fillId="3" borderId="0" xfId="0" applyNumberFormat="1" applyFont="1" applyFill="1" applyAlignment="1">
      <alignment vertical="center" wrapText="1"/>
    </xf>
    <xf numFmtId="10" fontId="4" fillId="2" borderId="0" xfId="0" applyNumberFormat="1" applyFont="1" applyFill="1"/>
    <xf numFmtId="10" fontId="4" fillId="0" borderId="0" xfId="0" applyNumberFormat="1" applyFont="1" applyAlignment="1">
      <alignment vertical="center" wrapText="1"/>
    </xf>
    <xf numFmtId="0" fontId="1" fillId="0" borderId="0" xfId="0" applyFont="1" applyAlignment="1">
      <alignment horizontal="center"/>
    </xf>
    <xf numFmtId="0" fontId="1" fillId="0" borderId="0" xfId="0" applyFont="1" applyAlignment="1">
      <alignment wrapText="1"/>
    </xf>
    <xf numFmtId="0" fontId="7" fillId="0" borderId="0" xfId="0" applyFont="1"/>
    <xf numFmtId="14" fontId="7" fillId="0" borderId="0" xfId="0" applyNumberFormat="1" applyFont="1"/>
    <xf numFmtId="0" fontId="5"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5" fillId="0" borderId="0" xfId="1" applyNumberFormat="1" applyAlignment="1">
      <alignment horizontal="center" wrapText="1"/>
    </xf>
    <xf numFmtId="177" fontId="0" fillId="0" borderId="0" xfId="0" applyNumberFormat="1" applyAlignment="1">
      <alignment wrapText="1"/>
    </xf>
    <xf numFmtId="0" fontId="6" fillId="0" borderId="0" xfId="0" applyFont="1" applyAlignment="1">
      <alignment horizontal="center" wrapText="1"/>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178"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center" wrapText="1"/>
    </xf>
    <xf numFmtId="0" fontId="9" fillId="0" borderId="0" xfId="0" applyFont="1"/>
    <xf numFmtId="0" fontId="10" fillId="0" borderId="0" xfId="0" applyFont="1"/>
    <xf numFmtId="0" fontId="9" fillId="0" borderId="0" xfId="0" applyFont="1" applyAlignment="1">
      <alignment wrapText="1"/>
    </xf>
    <xf numFmtId="0" fontId="0" fillId="0" borderId="0" xfId="0" applyAlignment="1">
      <alignment horizontal="center"/>
    </xf>
    <xf numFmtId="0" fontId="0" fillId="0" borderId="0" xfId="0" applyAlignment="1">
      <alignment horizontal="center"/>
    </xf>
    <xf numFmtId="0" fontId="8" fillId="0" borderId="0" xfId="0" applyFont="1" applyAlignment="1">
      <alignment wrapText="1"/>
    </xf>
    <xf numFmtId="0" fontId="8"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0" fontId="8" fillId="0" borderId="0" xfId="0" applyFont="1" applyAlignment="1">
      <alignment horizontal="center" wrapText="1"/>
    </xf>
    <xf numFmtId="0" fontId="0" fillId="0" borderId="0" xfId="0" applyAlignment="1">
      <alignment horizontal="center"/>
    </xf>
    <xf numFmtId="0" fontId="11" fillId="0" borderId="0" xfId="0" applyFont="1" applyAlignment="1">
      <alignment horizontal="center"/>
    </xf>
    <xf numFmtId="0" fontId="10" fillId="0" borderId="0" xfId="0" applyFont="1" applyAlignment="1">
      <alignment horizontal="center"/>
    </xf>
    <xf numFmtId="0" fontId="0" fillId="0" borderId="0" xfId="0" applyAlignment="1">
      <alignment horizontal="center"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2667632"/>
        <c:axId val="242668416"/>
      </c:lineChart>
      <c:catAx>
        <c:axId val="2426676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2668416"/>
        <c:crosses val="autoZero"/>
        <c:auto val="1"/>
        <c:lblAlgn val="ctr"/>
        <c:lblOffset val="100"/>
        <c:noMultiLvlLbl val="0"/>
      </c:catAx>
      <c:valAx>
        <c:axId val="242668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266763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'[2]中科创达(300496)_利润表 (1)'!$B$1</c:f>
              <c:strCache>
                <c:ptCount val="1"/>
                <c:pt idx="0">
                  <c:v>利润率</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'[2]中科创达(300496)_利润表 (1)'!$A$2:$A$7</c:f>
              <c:numCache>
                <c:formatCode>General</c:formatCode>
                <c:ptCount val="6"/>
                <c:pt idx="0">
                  <c:v>2013</c:v>
                </c:pt>
                <c:pt idx="1">
                  <c:v>2014</c:v>
                </c:pt>
                <c:pt idx="2">
                  <c:v>2015</c:v>
                </c:pt>
                <c:pt idx="3">
                  <c:v>2016</c:v>
                </c:pt>
                <c:pt idx="4">
                  <c:v>2017</c:v>
                </c:pt>
                <c:pt idx="5">
                  <c:v>2018</c:v>
                </c:pt>
              </c:numCache>
            </c:numRef>
          </c:cat>
          <c:val>
            <c:numRef>
              <c:f>'[2]中科创达(300496)_利润表 (1)'!$B$2:$B$7</c:f>
              <c:numCache>
                <c:formatCode>General</c:formatCode>
                <c:ptCount val="6"/>
                <c:pt idx="0">
                  <c:v>0.28999999999999998</c:v>
                </c:pt>
                <c:pt idx="1">
                  <c:v>0.25</c:v>
                </c:pt>
                <c:pt idx="2">
                  <c:v>0.19</c:v>
                </c:pt>
                <c:pt idx="3">
                  <c:v>0.14000000000000001</c:v>
                </c:pt>
                <c:pt idx="4">
                  <c:v>7.0000000000000007E-2</c:v>
                </c:pt>
                <c:pt idx="5">
                  <c:v>0.12</c:v>
                </c:pt>
              </c:numCache>
            </c:numRef>
          </c:val>
          <c:smooth val="0"/>
          <c:extLst xmlns:c16r2="http://schemas.microsoft.com/office/drawing/2015/06/chart">
            <c:ext xmlns:c16="http://schemas.microsoft.com/office/drawing/2014/chart" uri="{C3380CC4-5D6E-409C-BE32-E72D297353CC}">
              <c16:uniqueId val="{00000000-53E7-43D6-9378-1BE460360DA0}"/>
            </c:ext>
          </c:extLst>
        </c:ser>
        <c:dLbls>
          <c:dLblPos val="ctr"/>
          <c:showLegendKey val="0"/>
          <c:showVal val="1"/>
          <c:showCatName val="0"/>
          <c:showSerName val="0"/>
          <c:showPercent val="0"/>
          <c:showBubbleSize val="0"/>
        </c:dLbls>
        <c:smooth val="0"/>
        <c:axId val="242669200"/>
        <c:axId val="242669592"/>
      </c:lineChart>
      <c:catAx>
        <c:axId val="24266920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42669592"/>
        <c:crosses val="autoZero"/>
        <c:auto val="1"/>
        <c:lblAlgn val="ctr"/>
        <c:lblOffset val="100"/>
        <c:noMultiLvlLbl val="0"/>
      </c:catAx>
      <c:valAx>
        <c:axId val="2426695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426692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38099</xdr:colOff>
      <xdr:row>3</xdr:row>
      <xdr:rowOff>47624</xdr:rowOff>
    </xdr:from>
    <xdr:to>
      <xdr:col>6</xdr:col>
      <xdr:colOff>2286000</xdr:colOff>
      <xdr:row>3</xdr:row>
      <xdr:rowOff>1052099</xdr:rowOff>
    </xdr:to>
    <xdr:pic>
      <xdr:nvPicPr>
        <xdr:cNvPr id="3" name="图片 2"/>
        <xdr:cNvPicPr>
          <a:picLocks noChangeAspect="1"/>
        </xdr:cNvPicPr>
      </xdr:nvPicPr>
      <xdr:blipFill>
        <a:blip xmlns:r="http://schemas.openxmlformats.org/officeDocument/2006/relationships" r:embed="rId1"/>
        <a:stretch>
          <a:fillRect/>
        </a:stretch>
      </xdr:blipFill>
      <xdr:spPr>
        <a:xfrm>
          <a:off x="5562599" y="390524"/>
          <a:ext cx="2247901" cy="1004475"/>
        </a:xfrm>
        <a:prstGeom prst="rect">
          <a:avLst/>
        </a:prstGeom>
      </xdr:spPr>
    </xdr:pic>
    <xdr:clientData/>
  </xdr:twoCellAnchor>
  <xdr:twoCellAnchor editAs="oneCell">
    <xdr:from>
      <xdr:col>10</xdr:col>
      <xdr:colOff>0</xdr:colOff>
      <xdr:row>2</xdr:row>
      <xdr:rowOff>171449</xdr:rowOff>
    </xdr:from>
    <xdr:to>
      <xdr:col>11</xdr:col>
      <xdr:colOff>2419350</xdr:colOff>
      <xdr:row>3</xdr:row>
      <xdr:rowOff>1326768</xdr:rowOff>
    </xdr:to>
    <xdr:pic>
      <xdr:nvPicPr>
        <xdr:cNvPr id="4" name="图片 3"/>
        <xdr:cNvPicPr>
          <a:picLocks noChangeAspect="1"/>
        </xdr:cNvPicPr>
      </xdr:nvPicPr>
      <xdr:blipFill>
        <a:blip xmlns:r="http://schemas.openxmlformats.org/officeDocument/2006/relationships" r:embed="rId2"/>
        <a:stretch>
          <a:fillRect/>
        </a:stretch>
      </xdr:blipFill>
      <xdr:spPr>
        <a:xfrm>
          <a:off x="13716000" y="514349"/>
          <a:ext cx="5410200" cy="1326769"/>
        </a:xfrm>
        <a:prstGeom prst="rect">
          <a:avLst/>
        </a:prstGeom>
      </xdr:spPr>
    </xdr:pic>
    <xdr:clientData/>
  </xdr:twoCellAnchor>
  <xdr:twoCellAnchor editAs="oneCell">
    <xdr:from>
      <xdr:col>6</xdr:col>
      <xdr:colOff>1</xdr:colOff>
      <xdr:row>5</xdr:row>
      <xdr:rowOff>1</xdr:rowOff>
    </xdr:from>
    <xdr:to>
      <xdr:col>6</xdr:col>
      <xdr:colOff>2305051</xdr:colOff>
      <xdr:row>5</xdr:row>
      <xdr:rowOff>1115938</xdr:rowOff>
    </xdr:to>
    <xdr:pic>
      <xdr:nvPicPr>
        <xdr:cNvPr id="2" name="图片 1"/>
        <xdr:cNvPicPr>
          <a:picLocks noChangeAspect="1"/>
        </xdr:cNvPicPr>
      </xdr:nvPicPr>
      <xdr:blipFill>
        <a:blip xmlns:r="http://schemas.openxmlformats.org/officeDocument/2006/relationships" r:embed="rId3"/>
        <a:stretch>
          <a:fillRect/>
        </a:stretch>
      </xdr:blipFill>
      <xdr:spPr>
        <a:xfrm>
          <a:off x="5524501" y="2047876"/>
          <a:ext cx="2305050" cy="1115937"/>
        </a:xfrm>
        <a:prstGeom prst="rect">
          <a:avLst/>
        </a:prstGeom>
      </xdr:spPr>
    </xdr:pic>
    <xdr:clientData/>
  </xdr:twoCellAnchor>
  <xdr:twoCellAnchor editAs="oneCell">
    <xdr:from>
      <xdr:col>10</xdr:col>
      <xdr:colOff>1</xdr:colOff>
      <xdr:row>5</xdr:row>
      <xdr:rowOff>0</xdr:rowOff>
    </xdr:from>
    <xdr:to>
      <xdr:col>12</xdr:col>
      <xdr:colOff>55043</xdr:colOff>
      <xdr:row>5</xdr:row>
      <xdr:rowOff>904875</xdr:rowOff>
    </xdr:to>
    <xdr:pic>
      <xdr:nvPicPr>
        <xdr:cNvPr id="6" name="图片 5"/>
        <xdr:cNvPicPr>
          <a:picLocks noChangeAspect="1"/>
        </xdr:cNvPicPr>
      </xdr:nvPicPr>
      <xdr:blipFill>
        <a:blip xmlns:r="http://schemas.openxmlformats.org/officeDocument/2006/relationships" r:embed="rId4"/>
        <a:stretch>
          <a:fillRect/>
        </a:stretch>
      </xdr:blipFill>
      <xdr:spPr>
        <a:xfrm>
          <a:off x="13716001" y="2047875"/>
          <a:ext cx="5560492" cy="904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 xmlns:a16="http://schemas.microsoft.com/office/drawing/2014/main"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13</xdr:col>
      <xdr:colOff>2490787</xdr:colOff>
      <xdr:row>4</xdr:row>
      <xdr:rowOff>1504949</xdr:rowOff>
    </xdr:to>
    <xdr:graphicFrame macro="">
      <xdr:nvGraphicFramePr>
        <xdr:cNvPr id="3" name="图表 2">
          <a:extLst>
            <a:ext uri="{FF2B5EF4-FFF2-40B4-BE49-F238E27FC236}">
              <a16:creationId xmlns="" xmlns:a16="http://schemas.microsoft.com/office/drawing/2014/main" id="{66AD9D28-9845-4524-A75E-E8D323269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843;&#26007;&#20307;&#32946;/Downloads/&#26222;&#36890;&#32929;&#20998;&#26512;/&#27704;&#23433;&#33647;&#199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0843;&#26007;&#20307;&#32946;/Downloads/&#20013;&#31185;&#21019;&#36798;(300496)_&#21033;&#28070;&#34920;%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row>
        <row r="5">
          <cell r="B5" t="str">
            <v>利润率</v>
          </cell>
        </row>
        <row r="6">
          <cell r="A6">
            <v>2014</v>
          </cell>
          <cell r="B6">
            <v>0.05</v>
          </cell>
        </row>
        <row r="7">
          <cell r="A7">
            <v>2015</v>
          </cell>
          <cell r="B7">
            <v>0.03</v>
          </cell>
        </row>
        <row r="8">
          <cell r="A8">
            <v>2016</v>
          </cell>
          <cell r="B8">
            <v>0.11</v>
          </cell>
        </row>
        <row r="9">
          <cell r="A9">
            <v>2017</v>
          </cell>
          <cell r="B9">
            <v>0.14000000000000001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创达(300496)_利润表 (1)"/>
    </sheetNames>
    <sheetDataSet>
      <sheetData sheetId="0">
        <row r="1">
          <cell r="B1" t="str">
            <v>利润率</v>
          </cell>
        </row>
        <row r="2">
          <cell r="A2">
            <v>2013</v>
          </cell>
          <cell r="B2">
            <v>0.28999999999999998</v>
          </cell>
        </row>
        <row r="3">
          <cell r="A3">
            <v>2014</v>
          </cell>
          <cell r="B3">
            <v>0.25</v>
          </cell>
        </row>
        <row r="4">
          <cell r="A4">
            <v>2015</v>
          </cell>
          <cell r="B4">
            <v>0.19</v>
          </cell>
        </row>
        <row r="5">
          <cell r="A5">
            <v>2016</v>
          </cell>
          <cell r="B5">
            <v>0.14000000000000001</v>
          </cell>
        </row>
        <row r="6">
          <cell r="A6">
            <v>2017</v>
          </cell>
          <cell r="B6">
            <v>7.0000000000000007E-2</v>
          </cell>
        </row>
        <row r="7">
          <cell r="A7">
            <v>2018</v>
          </cell>
          <cell r="B7">
            <v>0.12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36130;&#21153;&#25351;&#26631;.xls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A16" sqref="A16:XFD16"/>
    </sheetView>
  </sheetViews>
  <sheetFormatPr defaultRowHeight="13.5" x14ac:dyDescent="0.15"/>
  <cols>
    <col min="1" max="1" width="15.875" customWidth="1"/>
    <col min="2" max="2" width="0" hidden="1" customWidth="1"/>
    <col min="3" max="3" width="0.125" customWidth="1"/>
    <col min="5" max="5" width="9.5" bestFit="1" customWidth="1"/>
    <col min="7" max="7" width="8.375" style="10" customWidth="1"/>
    <col min="8" max="8" width="10.875" style="5" customWidth="1"/>
    <col min="9" max="9" width="9" style="5"/>
    <col min="10" max="10" width="13.375" style="33" customWidth="1"/>
    <col min="11" max="11" width="15.5" style="33" customWidth="1"/>
    <col min="12" max="12" width="15.875" style="5" customWidth="1"/>
    <col min="14" max="14" width="10.5" bestFit="1" customWidth="1"/>
    <col min="16" max="16" width="9.5" bestFit="1" customWidth="1"/>
    <col min="17" max="17" width="9.5" style="5" customWidth="1"/>
    <col min="19" max="19" width="14" customWidth="1"/>
  </cols>
  <sheetData>
    <row r="1" spans="1:19" ht="18" customHeight="1" x14ac:dyDescent="0.15">
      <c r="A1" s="1" t="s">
        <v>21</v>
      </c>
      <c r="B1" s="1" t="s">
        <v>22</v>
      </c>
      <c r="C1" s="2" t="s">
        <v>23</v>
      </c>
      <c r="D1" s="1" t="s">
        <v>24</v>
      </c>
      <c r="E1" s="1" t="s">
        <v>25</v>
      </c>
      <c r="F1" s="1" t="s">
        <v>26</v>
      </c>
      <c r="G1" s="37" t="s">
        <v>27</v>
      </c>
      <c r="H1" s="2" t="s">
        <v>28</v>
      </c>
      <c r="I1" s="2" t="s">
        <v>29</v>
      </c>
      <c r="J1" s="36" t="s">
        <v>30</v>
      </c>
      <c r="K1" s="30" t="s">
        <v>31</v>
      </c>
      <c r="L1" s="2" t="s">
        <v>32</v>
      </c>
      <c r="M1" s="3" t="s">
        <v>33</v>
      </c>
      <c r="N1" s="2" t="s">
        <v>34</v>
      </c>
      <c r="O1" s="3" t="s">
        <v>35</v>
      </c>
      <c r="P1" s="2" t="s">
        <v>36</v>
      </c>
      <c r="Q1" s="2" t="s">
        <v>49</v>
      </c>
      <c r="R1" s="2" t="s">
        <v>37</v>
      </c>
      <c r="S1" s="2" t="s">
        <v>195</v>
      </c>
    </row>
    <row r="2" spans="1:19" x14ac:dyDescent="0.15">
      <c r="A2" s="22" t="s">
        <v>6</v>
      </c>
      <c r="B2" s="23"/>
      <c r="C2" s="24"/>
      <c r="D2" s="23">
        <v>0.218</v>
      </c>
      <c r="E2" s="23">
        <v>7.37</v>
      </c>
      <c r="F2" s="23">
        <v>4.74</v>
      </c>
      <c r="G2" s="38">
        <f t="shared" ref="G2:G18" si="0">D2*4/F2</f>
        <v>0.18396624472573839</v>
      </c>
      <c r="H2" s="24">
        <f>4.3*4%</f>
        <v>0.17199999999999999</v>
      </c>
      <c r="I2" s="24">
        <f>0.15/F2</f>
        <v>3.164556962025316E-2</v>
      </c>
      <c r="J2" s="31">
        <v>3.94</v>
      </c>
      <c r="K2" s="31">
        <f>D2*4/0.07*0.9</f>
        <v>11.21142857142857</v>
      </c>
      <c r="L2" s="24">
        <f t="shared" ref="L2:L7" si="1">(K2-F2)/F2</f>
        <v>1.3652802893309219</v>
      </c>
      <c r="M2" s="25">
        <v>24.57</v>
      </c>
      <c r="N2" s="26">
        <v>9.1499999999999998E-2</v>
      </c>
      <c r="O2" s="27">
        <v>1.236</v>
      </c>
      <c r="P2" s="28">
        <v>0.23630000000000001</v>
      </c>
      <c r="Q2" s="28">
        <f>O2/M2</f>
        <v>5.0305250305250307E-2</v>
      </c>
      <c r="R2" s="29" t="s">
        <v>7</v>
      </c>
      <c r="S2" t="s">
        <v>197</v>
      </c>
    </row>
    <row r="3" spans="1:19" x14ac:dyDescent="0.15">
      <c r="A3" t="s">
        <v>45</v>
      </c>
      <c r="D3">
        <v>0.47</v>
      </c>
      <c r="E3">
        <v>7.23</v>
      </c>
      <c r="F3">
        <v>10.42</v>
      </c>
      <c r="G3" s="10">
        <f t="shared" si="0"/>
        <v>0.18042226487523991</v>
      </c>
      <c r="H3" s="5">
        <f>3.72*4%</f>
        <v>0.14880000000000002</v>
      </c>
      <c r="I3" s="5">
        <f>0.22/F3</f>
        <v>2.1113243761996161E-2</v>
      </c>
      <c r="J3" s="33">
        <v>12.93</v>
      </c>
      <c r="K3" s="33">
        <f>D3*4/0.07*0.9</f>
        <v>24.171428571428571</v>
      </c>
      <c r="L3" s="5">
        <f t="shared" si="1"/>
        <v>1.3197148341102276</v>
      </c>
      <c r="M3">
        <v>17.510000000000002</v>
      </c>
      <c r="N3" s="5">
        <v>0.24460000000000001</v>
      </c>
      <c r="O3">
        <v>3.38</v>
      </c>
      <c r="P3" s="21">
        <v>1.04</v>
      </c>
      <c r="Q3" s="28">
        <f t="shared" ref="Q3:Q32" si="2">O3/M3</f>
        <v>0.193032552826956</v>
      </c>
      <c r="R3" t="s">
        <v>46</v>
      </c>
      <c r="S3" t="s">
        <v>196</v>
      </c>
    </row>
    <row r="4" spans="1:19" x14ac:dyDescent="0.15">
      <c r="A4" t="s">
        <v>48</v>
      </c>
      <c r="D4">
        <v>1.0590999999999999</v>
      </c>
      <c r="E4">
        <v>17.899999999999999</v>
      </c>
      <c r="F4">
        <v>24.53</v>
      </c>
      <c r="G4" s="10">
        <f t="shared" si="0"/>
        <v>0.17270281288218506</v>
      </c>
      <c r="H4" s="5">
        <f>17.79*4%</f>
        <v>0.71160000000000001</v>
      </c>
      <c r="I4" s="5">
        <f>1.9/F4</f>
        <v>7.7456176110884623E-2</v>
      </c>
      <c r="J4" s="33">
        <v>6.54</v>
      </c>
      <c r="K4" s="33">
        <f>D4*4/0.07*0.9</f>
        <v>54.467999999999989</v>
      </c>
      <c r="L4" s="5">
        <f t="shared" si="1"/>
        <v>1.2204647370566648</v>
      </c>
      <c r="M4">
        <v>35.21</v>
      </c>
      <c r="N4" s="21">
        <v>4.08</v>
      </c>
      <c r="O4">
        <v>18.940000000000001</v>
      </c>
      <c r="P4" s="21">
        <v>26</v>
      </c>
      <c r="Q4" s="28">
        <f t="shared" si="2"/>
        <v>0.5379153649531383</v>
      </c>
      <c r="R4" t="s">
        <v>47</v>
      </c>
      <c r="S4" t="s">
        <v>196</v>
      </c>
    </row>
    <row r="5" spans="1:19" x14ac:dyDescent="0.15">
      <c r="A5" s="4" t="s">
        <v>0</v>
      </c>
      <c r="C5" s="5"/>
      <c r="D5" s="6">
        <v>1.2</v>
      </c>
      <c r="E5" s="6">
        <v>2.94</v>
      </c>
      <c r="F5" s="6">
        <v>31.95</v>
      </c>
      <c r="G5" s="10">
        <f t="shared" si="0"/>
        <v>0.15023474178403756</v>
      </c>
      <c r="H5" s="5">
        <f>4.67*4%</f>
        <v>0.18679999999999999</v>
      </c>
      <c r="I5" s="5">
        <f>0.9/32.6</f>
        <v>2.7607361963190184E-2</v>
      </c>
      <c r="J5" s="33">
        <v>26.24</v>
      </c>
      <c r="K5" s="33">
        <f>1.2*4/0.07*0.9</f>
        <v>61.714285714285715</v>
      </c>
      <c r="L5" s="5">
        <f t="shared" si="1"/>
        <v>0.93158953722334015</v>
      </c>
      <c r="M5" s="7">
        <v>71.430000000000007</v>
      </c>
      <c r="N5" s="5">
        <v>-7.51E-2</v>
      </c>
      <c r="O5" s="7">
        <v>3.5192999999999999</v>
      </c>
      <c r="P5" s="5">
        <v>6.88E-2</v>
      </c>
      <c r="Q5" s="28">
        <f t="shared" si="2"/>
        <v>4.9269214615707678E-2</v>
      </c>
      <c r="R5" t="s">
        <v>1</v>
      </c>
      <c r="S5" t="s">
        <v>196</v>
      </c>
    </row>
    <row r="6" spans="1:19" s="29" customFormat="1" ht="16.5" customHeight="1" x14ac:dyDescent="0.15">
      <c r="A6" s="8" t="s">
        <v>2</v>
      </c>
      <c r="B6" s="9"/>
      <c r="C6" s="10"/>
      <c r="D6" s="11">
        <v>0.28000000000000003</v>
      </c>
      <c r="E6" s="11">
        <v>149</v>
      </c>
      <c r="F6" s="11">
        <v>8.5299999999999994</v>
      </c>
      <c r="G6" s="10">
        <f t="shared" si="0"/>
        <v>0.13130128956623682</v>
      </c>
      <c r="H6" s="10">
        <f>4.04*4%</f>
        <v>0.16159999999999999</v>
      </c>
      <c r="I6" s="10">
        <f>0.47/F6</f>
        <v>5.5099648300117238E-2</v>
      </c>
      <c r="J6" s="34">
        <v>6.96</v>
      </c>
      <c r="K6" s="34">
        <f>0.28*4/0.07*0.9</f>
        <v>14.4</v>
      </c>
      <c r="L6" s="10">
        <f t="shared" si="1"/>
        <v>0.68815943728018769</v>
      </c>
      <c r="M6" s="12">
        <v>179.73</v>
      </c>
      <c r="N6" s="10">
        <v>0.44350000000000001</v>
      </c>
      <c r="O6" s="12">
        <v>4.09</v>
      </c>
      <c r="P6" s="10">
        <v>0.2959</v>
      </c>
      <c r="Q6" s="28">
        <f t="shared" si="2"/>
        <v>2.2756356757358261E-2</v>
      </c>
      <c r="R6" s="9" t="s">
        <v>3</v>
      </c>
      <c r="S6" t="s">
        <v>196</v>
      </c>
    </row>
    <row r="7" spans="1:19" x14ac:dyDescent="0.15">
      <c r="A7" s="17" t="s">
        <v>13</v>
      </c>
      <c r="B7" s="17"/>
      <c r="C7" s="18"/>
      <c r="D7" s="19">
        <v>0.21</v>
      </c>
      <c r="E7" s="19">
        <v>24.05</v>
      </c>
      <c r="F7" s="19">
        <v>6.55</v>
      </c>
      <c r="G7" s="39">
        <f t="shared" si="0"/>
        <v>0.12824427480916031</v>
      </c>
      <c r="H7" s="18">
        <f>2.89*4%</f>
        <v>0.11560000000000001</v>
      </c>
      <c r="I7" s="18">
        <f>0.205/F7</f>
        <v>3.1297709923664124E-2</v>
      </c>
      <c r="J7" s="32">
        <v>6.52</v>
      </c>
      <c r="K7" s="32">
        <f>D7*4/0.07*0.9</f>
        <v>10.799999999999999</v>
      </c>
      <c r="L7" s="18">
        <f t="shared" si="1"/>
        <v>0.64885496183206093</v>
      </c>
      <c r="M7" s="20">
        <v>80.39</v>
      </c>
      <c r="N7" s="18">
        <v>5.91E-2</v>
      </c>
      <c r="O7" s="20">
        <v>4.9219999999999997</v>
      </c>
      <c r="P7" s="18">
        <v>0.14480000000000001</v>
      </c>
      <c r="Q7" s="28">
        <f t="shared" si="2"/>
        <v>6.1226520711531278E-2</v>
      </c>
      <c r="R7" s="17" t="s">
        <v>12</v>
      </c>
      <c r="S7" t="s">
        <v>196</v>
      </c>
    </row>
    <row r="8" spans="1:19" x14ac:dyDescent="0.15">
      <c r="A8" t="s">
        <v>14</v>
      </c>
      <c r="D8">
        <v>0.12989999999999999</v>
      </c>
      <c r="E8">
        <v>30.6</v>
      </c>
      <c r="F8">
        <v>3.42</v>
      </c>
      <c r="G8" s="10">
        <f t="shared" si="0"/>
        <v>0.1519298245614035</v>
      </c>
      <c r="H8" s="5">
        <f>2.82*4%</f>
        <v>0.1128</v>
      </c>
      <c r="I8" s="5">
        <f>0.1/F8</f>
        <v>2.9239766081871347E-2</v>
      </c>
      <c r="J8" s="33">
        <v>4.67</v>
      </c>
      <c r="K8" s="33">
        <f>(D8*4/0.07-J8)*0.9+J8</f>
        <v>7.1475714285714282</v>
      </c>
      <c r="L8" s="5">
        <f>(K8-F8)/K8</f>
        <v>0.52151579957228233</v>
      </c>
      <c r="M8">
        <v>14.81</v>
      </c>
      <c r="N8" s="5">
        <v>-3.8300000000000001E-2</v>
      </c>
      <c r="O8">
        <v>3.92</v>
      </c>
      <c r="P8" s="5">
        <v>0.42330000000000001</v>
      </c>
      <c r="Q8" s="28">
        <f t="shared" si="2"/>
        <v>0.26468602295746119</v>
      </c>
      <c r="R8" t="s">
        <v>15</v>
      </c>
      <c r="S8" t="s">
        <v>196</v>
      </c>
    </row>
    <row r="9" spans="1:19" x14ac:dyDescent="0.15">
      <c r="A9" s="4" t="s">
        <v>4</v>
      </c>
      <c r="C9" s="5"/>
      <c r="D9" s="6">
        <v>0.14000000000000001</v>
      </c>
      <c r="E9" s="6">
        <v>21.6</v>
      </c>
      <c r="F9" s="6">
        <v>4.87</v>
      </c>
      <c r="G9" s="10">
        <f t="shared" si="0"/>
        <v>0.11498973305954827</v>
      </c>
      <c r="H9" s="5">
        <f>2.23*4%</f>
        <v>8.9200000000000002E-2</v>
      </c>
      <c r="I9" s="5">
        <f>0.1/F9</f>
        <v>2.0533880903490759E-2</v>
      </c>
      <c r="J9" s="33">
        <v>5.16</v>
      </c>
      <c r="K9" s="33">
        <f>D8*4/0.07*0.9</f>
        <v>6.6805714285714277</v>
      </c>
      <c r="L9" s="5">
        <f>(K9-F9)/F9</f>
        <v>0.3717805808154882</v>
      </c>
      <c r="M9" s="7">
        <v>466.88</v>
      </c>
      <c r="N9" s="5">
        <v>0.15720000000000001</v>
      </c>
      <c r="O9" s="7">
        <v>23.056000000000001</v>
      </c>
      <c r="P9" s="5">
        <v>0.67049999999999998</v>
      </c>
      <c r="Q9" s="28">
        <f t="shared" si="2"/>
        <v>4.9383139136394791E-2</v>
      </c>
      <c r="R9" t="s">
        <v>5</v>
      </c>
      <c r="S9" t="s">
        <v>196</v>
      </c>
    </row>
    <row r="10" spans="1:19" x14ac:dyDescent="0.15">
      <c r="A10" t="s">
        <v>43</v>
      </c>
      <c r="D10">
        <v>0.23250000000000001</v>
      </c>
      <c r="E10">
        <v>5.0599999999999996</v>
      </c>
      <c r="F10">
        <v>8.4499999999999993</v>
      </c>
      <c r="G10" s="10">
        <f t="shared" si="0"/>
        <v>0.11005917159763315</v>
      </c>
      <c r="H10" s="5">
        <f>2.42*4%</f>
        <v>9.6799999999999997E-2</v>
      </c>
      <c r="I10" s="5">
        <f>0.179/F10</f>
        <v>2.1183431952662722E-2</v>
      </c>
      <c r="J10" s="33">
        <v>9.51</v>
      </c>
      <c r="K10" s="33">
        <f>D10*4/0.07*0.9</f>
        <v>11.957142857142857</v>
      </c>
      <c r="L10" s="5">
        <f>(K10-F10)/F10</f>
        <v>0.41504649196956905</v>
      </c>
      <c r="M10">
        <v>14.77</v>
      </c>
      <c r="N10" s="5">
        <v>-0.19070000000000001</v>
      </c>
      <c r="O10">
        <v>1.135</v>
      </c>
      <c r="P10" s="5">
        <v>2.8500000000000001E-2</v>
      </c>
      <c r="Q10" s="28">
        <f t="shared" si="2"/>
        <v>7.6844955991875422E-2</v>
      </c>
      <c r="R10" t="s">
        <v>44</v>
      </c>
      <c r="S10" t="s">
        <v>196</v>
      </c>
    </row>
    <row r="11" spans="1:19" x14ac:dyDescent="0.15">
      <c r="A11" s="4" t="s">
        <v>8</v>
      </c>
      <c r="B11" s="6"/>
      <c r="C11" s="13"/>
      <c r="D11" s="6">
        <v>0.16839999999999999</v>
      </c>
      <c r="E11" s="6">
        <v>17.3</v>
      </c>
      <c r="F11" s="6">
        <v>5.1100000000000003</v>
      </c>
      <c r="G11" s="40">
        <f t="shared" si="0"/>
        <v>0.13181996086105674</v>
      </c>
      <c r="H11" s="13">
        <f>5.35*4%</f>
        <v>0.214</v>
      </c>
      <c r="I11" s="13">
        <f>0.15/F11</f>
        <v>2.9354207436399216E-2</v>
      </c>
      <c r="J11" s="35">
        <v>3.02</v>
      </c>
      <c r="K11" s="35">
        <f>D11*4/0.07*0.9</f>
        <v>8.6605714285714264</v>
      </c>
      <c r="L11" s="13">
        <f>(K11-F11)/K11</f>
        <v>0.40996964898390059</v>
      </c>
      <c r="M11" s="14">
        <v>33.39</v>
      </c>
      <c r="N11" s="15">
        <v>2.41E-2</v>
      </c>
      <c r="O11" s="16">
        <v>2.9169</v>
      </c>
      <c r="P11" s="5">
        <v>0.41089999999999999</v>
      </c>
      <c r="Q11" s="28">
        <f t="shared" si="2"/>
        <v>8.7358490566037741E-2</v>
      </c>
      <c r="R11" t="s">
        <v>9</v>
      </c>
      <c r="S11" t="s">
        <v>196</v>
      </c>
    </row>
    <row r="12" spans="1:19" ht="12" customHeight="1" x14ac:dyDescent="0.15">
      <c r="A12" t="s">
        <v>41</v>
      </c>
      <c r="D12">
        <v>0.27</v>
      </c>
      <c r="E12">
        <v>5.59</v>
      </c>
      <c r="F12">
        <v>10.42</v>
      </c>
      <c r="G12" s="10">
        <f t="shared" si="0"/>
        <v>0.1036468330134357</v>
      </c>
      <c r="H12" s="5">
        <f>3.48*4%</f>
        <v>0.13919999999999999</v>
      </c>
      <c r="I12" s="5">
        <f>1.2/F12</f>
        <v>0.11516314779270632</v>
      </c>
      <c r="J12" s="33">
        <v>8.25</v>
      </c>
      <c r="K12" s="33">
        <f>D12*4/0.07*0.9</f>
        <v>13.885714285714286</v>
      </c>
      <c r="L12" s="5">
        <f>(K12-F12)/F12</f>
        <v>0.33260213874417333</v>
      </c>
      <c r="M12">
        <v>11.57</v>
      </c>
      <c r="N12" s="5">
        <v>0.22450000000000001</v>
      </c>
      <c r="O12">
        <v>1.4550000000000001</v>
      </c>
      <c r="P12" s="5">
        <v>0.16539999999999999</v>
      </c>
      <c r="Q12" s="28">
        <f t="shared" si="2"/>
        <v>0.1257562662057044</v>
      </c>
      <c r="R12" t="s">
        <v>42</v>
      </c>
      <c r="S12" t="s">
        <v>196</v>
      </c>
    </row>
    <row r="13" spans="1:19" x14ac:dyDescent="0.15">
      <c r="A13" s="4" t="s">
        <v>10</v>
      </c>
      <c r="C13" s="5"/>
      <c r="D13" s="6">
        <v>0.51</v>
      </c>
      <c r="E13" s="6">
        <v>2.2400000000000002</v>
      </c>
      <c r="F13" s="6">
        <v>19.829999999999998</v>
      </c>
      <c r="G13" s="10">
        <f t="shared" si="0"/>
        <v>0.10287443267776097</v>
      </c>
      <c r="H13" s="5">
        <f>3.17*4%</f>
        <v>0.1268</v>
      </c>
      <c r="I13" s="5">
        <f>0.68/19.6</f>
        <v>3.4693877551020408E-2</v>
      </c>
      <c r="J13" s="33">
        <v>11.67</v>
      </c>
      <c r="K13" s="33">
        <f>D13*4/0.07*0.9</f>
        <v>26.228571428571428</v>
      </c>
      <c r="L13" s="5">
        <f>(K13-F13)/F13</f>
        <v>0.32267127728549821</v>
      </c>
      <c r="M13" s="7">
        <v>7.73</v>
      </c>
      <c r="N13" s="5">
        <v>0.3327</v>
      </c>
      <c r="O13" s="7">
        <v>0.81599999999999995</v>
      </c>
      <c r="P13" s="5">
        <v>5.21E-2</v>
      </c>
      <c r="Q13" s="28">
        <f t="shared" si="2"/>
        <v>0.10556274256144889</v>
      </c>
      <c r="R13" t="s">
        <v>11</v>
      </c>
      <c r="S13" t="s">
        <v>196</v>
      </c>
    </row>
    <row r="14" spans="1:19" x14ac:dyDescent="0.15">
      <c r="A14" t="s">
        <v>18</v>
      </c>
      <c r="D14">
        <f>(4.72-0.89*0.75)/48.1</f>
        <v>8.4251559251559249E-2</v>
      </c>
      <c r="E14">
        <v>48.1</v>
      </c>
      <c r="F14">
        <v>4</v>
      </c>
      <c r="G14" s="10">
        <f t="shared" si="0"/>
        <v>8.4251559251559249E-2</v>
      </c>
      <c r="H14" s="5">
        <f>1.88*4%</f>
        <v>7.5200000000000003E-2</v>
      </c>
      <c r="I14" s="5">
        <f>0.178/F14</f>
        <v>4.4499999999999998E-2</v>
      </c>
      <c r="J14" s="33">
        <v>5.64</v>
      </c>
      <c r="K14" s="33">
        <f>(D14*4/0.07-J14)*0.09+J14</f>
        <v>5.5656937332937328</v>
      </c>
      <c r="L14" s="5">
        <f>(K14-F14)/K14</f>
        <v>0.28131151448880892</v>
      </c>
      <c r="M14">
        <v>11.48</v>
      </c>
      <c r="N14" s="5">
        <v>-0.27939999999999998</v>
      </c>
      <c r="O14">
        <f>(4.72-0.89*0.75)</f>
        <v>4.0525000000000002</v>
      </c>
      <c r="P14" s="5">
        <v>-0.13300000000000001</v>
      </c>
      <c r="Q14" s="28">
        <f t="shared" si="2"/>
        <v>0.35300522648083626</v>
      </c>
      <c r="R14" t="s">
        <v>19</v>
      </c>
      <c r="S14" t="s">
        <v>196</v>
      </c>
    </row>
    <row r="15" spans="1:19" x14ac:dyDescent="0.15">
      <c r="A15" t="s">
        <v>16</v>
      </c>
      <c r="D15">
        <v>0.23</v>
      </c>
      <c r="E15">
        <v>5.9</v>
      </c>
      <c r="F15">
        <v>9.85</v>
      </c>
      <c r="G15" s="10">
        <f t="shared" si="0"/>
        <v>9.3401015228426407E-2</v>
      </c>
      <c r="H15" s="5">
        <f>2.41*4%</f>
        <v>9.6400000000000013E-2</v>
      </c>
      <c r="I15" s="5">
        <f>0.1/F15</f>
        <v>1.0152284263959392E-2</v>
      </c>
      <c r="J15" s="33">
        <v>9.51</v>
      </c>
      <c r="K15" s="33">
        <f t="shared" ref="K15:K25" si="3">D15*4/0.07*0.9</f>
        <v>11.828571428571429</v>
      </c>
      <c r="L15" s="5">
        <f>(K15-J15)/J15</f>
        <v>0.24380351509689058</v>
      </c>
      <c r="M15">
        <v>27.63</v>
      </c>
      <c r="N15" s="5">
        <v>0.3029</v>
      </c>
      <c r="O15">
        <v>1.0189999999999999</v>
      </c>
      <c r="P15" s="5">
        <v>0.33169999999999999</v>
      </c>
      <c r="Q15" s="28">
        <f t="shared" si="2"/>
        <v>3.6880202678248278E-2</v>
      </c>
      <c r="R15" t="s">
        <v>17</v>
      </c>
      <c r="S15" t="s">
        <v>196</v>
      </c>
    </row>
    <row r="16" spans="1:19" x14ac:dyDescent="0.15">
      <c r="A16" t="s">
        <v>20</v>
      </c>
      <c r="D16">
        <v>0.2</v>
      </c>
      <c r="E16">
        <v>50.38</v>
      </c>
      <c r="F16">
        <v>9.2899999999999991</v>
      </c>
      <c r="G16" s="10">
        <f t="shared" si="0"/>
        <v>8.6114101184068897E-2</v>
      </c>
      <c r="H16" s="5">
        <f>4.16*4%</f>
        <v>0.16640000000000002</v>
      </c>
      <c r="I16" s="5">
        <f>0.44/F16</f>
        <v>4.7362755651237896E-2</v>
      </c>
      <c r="J16" s="33">
        <v>5.13</v>
      </c>
      <c r="K16" s="33">
        <f t="shared" si="3"/>
        <v>10.285714285714286</v>
      </c>
      <c r="L16" s="5">
        <f t="shared" ref="L16:L32" si="4">(K16-F16)/F16</f>
        <v>0.10718130093802879</v>
      </c>
      <c r="M16">
        <v>28.2</v>
      </c>
      <c r="N16" s="5">
        <v>0.22950000000000001</v>
      </c>
      <c r="O16">
        <v>10.17</v>
      </c>
      <c r="P16" s="5">
        <v>0.16420000000000001</v>
      </c>
      <c r="Q16" s="28">
        <f t="shared" si="2"/>
        <v>0.36063829787234042</v>
      </c>
      <c r="R16" t="s">
        <v>38</v>
      </c>
      <c r="S16" t="s">
        <v>196</v>
      </c>
    </row>
    <row r="17" spans="1:19" x14ac:dyDescent="0.15">
      <c r="A17" t="s">
        <v>39</v>
      </c>
      <c r="D17">
        <v>0.25</v>
      </c>
      <c r="E17">
        <v>44.93</v>
      </c>
      <c r="F17">
        <v>12.07</v>
      </c>
      <c r="G17" s="10">
        <f t="shared" si="0"/>
        <v>8.2850041425020712E-2</v>
      </c>
      <c r="H17" s="5">
        <f>9.63*4%</f>
        <v>0.38520000000000004</v>
      </c>
      <c r="I17" s="5">
        <f>0.48/F17</f>
        <v>3.9768019884009936E-2</v>
      </c>
      <c r="J17" s="33">
        <v>2.74</v>
      </c>
      <c r="K17" s="33">
        <f t="shared" si="3"/>
        <v>12.857142857142856</v>
      </c>
      <c r="L17" s="5">
        <f t="shared" si="4"/>
        <v>6.5214818321694748E-2</v>
      </c>
      <c r="M17">
        <v>57.86</v>
      </c>
      <c r="N17" s="5">
        <v>0.1216</v>
      </c>
      <c r="O17">
        <v>11.17</v>
      </c>
      <c r="P17" s="5">
        <v>0.11609999999999999</v>
      </c>
      <c r="Q17" s="28">
        <f t="shared" si="2"/>
        <v>0.19305219495333564</v>
      </c>
      <c r="R17" t="s">
        <v>40</v>
      </c>
      <c r="S17" t="s">
        <v>196</v>
      </c>
    </row>
    <row r="18" spans="1:19" x14ac:dyDescent="0.15">
      <c r="A18" t="s">
        <v>50</v>
      </c>
      <c r="D18">
        <v>0.37</v>
      </c>
      <c r="E18">
        <v>7.69</v>
      </c>
      <c r="F18">
        <v>11.52</v>
      </c>
      <c r="G18" s="10">
        <f t="shared" si="0"/>
        <v>0.12847222222222224</v>
      </c>
      <c r="H18" s="5">
        <f>3.88*4%</f>
        <v>0.1552</v>
      </c>
      <c r="I18" s="5">
        <f>0.08/11.52</f>
        <v>6.9444444444444449E-3</v>
      </c>
      <c r="J18" s="33">
        <v>9.73</v>
      </c>
      <c r="K18" s="33">
        <f t="shared" si="3"/>
        <v>19.028571428571428</v>
      </c>
      <c r="L18" s="5">
        <f t="shared" si="4"/>
        <v>0.6517857142857143</v>
      </c>
      <c r="M18">
        <v>48.3</v>
      </c>
      <c r="N18" s="5">
        <v>3.5099999999999999E-2</v>
      </c>
      <c r="O18">
        <v>2.81</v>
      </c>
      <c r="P18" s="5">
        <v>-6.8999999999999999E-3</v>
      </c>
      <c r="Q18" s="5">
        <f t="shared" si="2"/>
        <v>5.8178053830227748E-2</v>
      </c>
      <c r="R18" t="s">
        <v>51</v>
      </c>
      <c r="S18" t="s">
        <v>196</v>
      </c>
    </row>
    <row r="19" spans="1:19" x14ac:dyDescent="0.15">
      <c r="A19" t="s">
        <v>52</v>
      </c>
      <c r="D19">
        <v>0.19</v>
      </c>
      <c r="E19">
        <v>9.3699999999999992</v>
      </c>
      <c r="F19">
        <v>8.5</v>
      </c>
      <c r="G19" s="10">
        <f t="shared" ref="G19:G32" si="5">D19*4/F19</f>
        <v>8.9411764705882357E-2</v>
      </c>
      <c r="H19" s="5">
        <f>1.85*4%</f>
        <v>7.400000000000001E-2</v>
      </c>
      <c r="I19" s="5">
        <f>0.02/F18</f>
        <v>1.7361111111111112E-3</v>
      </c>
      <c r="J19" s="33">
        <f>30/E19</f>
        <v>3.2017075773746</v>
      </c>
      <c r="K19" s="33">
        <f t="shared" si="3"/>
        <v>9.7714285714285705</v>
      </c>
      <c r="L19" s="5">
        <f t="shared" si="4"/>
        <v>0.14957983193277299</v>
      </c>
      <c r="M19">
        <v>7.41</v>
      </c>
      <c r="N19" s="5">
        <v>0.1598</v>
      </c>
      <c r="O19">
        <v>1.34</v>
      </c>
      <c r="P19" s="5">
        <v>-0.31540000000000001</v>
      </c>
      <c r="Q19" s="5">
        <f t="shared" si="2"/>
        <v>0.18083670715249664</v>
      </c>
      <c r="R19" t="s">
        <v>53</v>
      </c>
      <c r="S19" t="s">
        <v>196</v>
      </c>
    </row>
    <row r="20" spans="1:19" x14ac:dyDescent="0.15">
      <c r="A20" t="s">
        <v>54</v>
      </c>
      <c r="D20">
        <v>0.13</v>
      </c>
      <c r="E20">
        <v>10.34</v>
      </c>
      <c r="F20">
        <v>4.71</v>
      </c>
      <c r="G20" s="10">
        <f t="shared" si="5"/>
        <v>0.11040339702760085</v>
      </c>
      <c r="H20" s="5">
        <f>4*4%</f>
        <v>0.16</v>
      </c>
      <c r="I20" s="5">
        <f>0.11/F20</f>
        <v>2.3354564755838643E-2</v>
      </c>
      <c r="J20" s="33">
        <v>3.41</v>
      </c>
      <c r="K20" s="33">
        <f t="shared" si="3"/>
        <v>6.6857142857142851</v>
      </c>
      <c r="L20" s="5">
        <f t="shared" si="4"/>
        <v>0.41947224749772505</v>
      </c>
      <c r="M20">
        <v>6.13</v>
      </c>
      <c r="N20" s="5">
        <v>0.94950000000000001</v>
      </c>
      <c r="O20">
        <v>1.37</v>
      </c>
      <c r="P20" s="5">
        <v>0.24210000000000001</v>
      </c>
      <c r="Q20" s="5">
        <f t="shared" si="2"/>
        <v>0.22349102773246332</v>
      </c>
      <c r="R20" t="s">
        <v>55</v>
      </c>
      <c r="S20" t="s">
        <v>196</v>
      </c>
    </row>
    <row r="21" spans="1:19" x14ac:dyDescent="0.15">
      <c r="A21" t="s">
        <v>56</v>
      </c>
      <c r="D21">
        <v>0.28999999999999998</v>
      </c>
      <c r="E21">
        <v>6.02</v>
      </c>
      <c r="F21">
        <v>13.41</v>
      </c>
      <c r="G21" s="10">
        <f t="shared" si="5"/>
        <v>8.6502609992542875E-2</v>
      </c>
      <c r="H21" s="5">
        <f>3.34*4%</f>
        <v>0.1336</v>
      </c>
      <c r="I21" s="5">
        <f>0.326/F21</f>
        <v>2.4310216256524981E-2</v>
      </c>
      <c r="J21" s="33">
        <v>8.84</v>
      </c>
      <c r="K21" s="33">
        <f t="shared" si="3"/>
        <v>14.914285714285713</v>
      </c>
      <c r="L21" s="5">
        <f t="shared" si="4"/>
        <v>0.11217641418983688</v>
      </c>
      <c r="M21">
        <v>9.39</v>
      </c>
      <c r="N21" s="5">
        <v>0.20219999999999999</v>
      </c>
      <c r="O21">
        <v>1.24</v>
      </c>
      <c r="P21" s="21">
        <v>0.68</v>
      </c>
      <c r="Q21" s="5">
        <f t="shared" si="2"/>
        <v>0.13205537806176784</v>
      </c>
      <c r="R21" t="s">
        <v>57</v>
      </c>
      <c r="S21" t="s">
        <v>196</v>
      </c>
    </row>
    <row r="22" spans="1:19" x14ac:dyDescent="0.15">
      <c r="A22" t="s">
        <v>58</v>
      </c>
      <c r="D22">
        <v>0.3</v>
      </c>
      <c r="E22">
        <v>3.44</v>
      </c>
      <c r="F22">
        <v>11.64</v>
      </c>
      <c r="G22" s="10">
        <f t="shared" si="5"/>
        <v>0.10309278350515463</v>
      </c>
      <c r="H22" s="5">
        <f>3.89*4%</f>
        <v>0.15560000000000002</v>
      </c>
      <c r="I22" s="5">
        <f>0.1/F22</f>
        <v>8.5910652920962206E-3</v>
      </c>
      <c r="J22" s="33">
        <v>8.01</v>
      </c>
      <c r="K22" s="33">
        <f t="shared" si="3"/>
        <v>15.428571428571429</v>
      </c>
      <c r="L22" s="5">
        <f t="shared" si="4"/>
        <v>0.32547864506627389</v>
      </c>
      <c r="M22">
        <v>6.7</v>
      </c>
      <c r="N22" s="5">
        <v>0.18110000000000001</v>
      </c>
      <c r="O22">
        <v>0.99</v>
      </c>
      <c r="P22" s="5">
        <v>-9.0899999999999995E-2</v>
      </c>
      <c r="Q22" s="5">
        <f t="shared" si="2"/>
        <v>0.14776119402985075</v>
      </c>
      <c r="R22" t="s">
        <v>59</v>
      </c>
      <c r="S22" t="s">
        <v>196</v>
      </c>
    </row>
    <row r="23" spans="1:19" x14ac:dyDescent="0.15">
      <c r="A23" t="s">
        <v>60</v>
      </c>
      <c r="D23">
        <v>0.1</v>
      </c>
      <c r="E23">
        <v>25.85</v>
      </c>
      <c r="F23">
        <v>4.2300000000000004</v>
      </c>
      <c r="G23" s="10">
        <f t="shared" si="5"/>
        <v>9.4562647754137114E-2</v>
      </c>
      <c r="H23" s="5">
        <f>4.26*4%</f>
        <v>0.1704</v>
      </c>
      <c r="I23" s="5">
        <f>0.11/F23</f>
        <v>2.6004728132387703E-2</v>
      </c>
      <c r="J23" s="33">
        <v>2.34</v>
      </c>
      <c r="K23" s="33">
        <f t="shared" si="3"/>
        <v>5.1428571428571432</v>
      </c>
      <c r="L23" s="5">
        <f t="shared" si="4"/>
        <v>0.21580547112462004</v>
      </c>
      <c r="M23">
        <v>14.13</v>
      </c>
      <c r="N23" s="5">
        <v>-5.5300000000000002E-2</v>
      </c>
      <c r="O23">
        <v>2.5099999999999998</v>
      </c>
      <c r="P23" s="5">
        <v>-0.1694</v>
      </c>
      <c r="Q23" s="5">
        <f t="shared" si="2"/>
        <v>0.1776362349610757</v>
      </c>
      <c r="R23" t="s">
        <v>61</v>
      </c>
      <c r="S23" t="s">
        <v>196</v>
      </c>
    </row>
    <row r="24" spans="1:19" x14ac:dyDescent="0.15">
      <c r="A24" t="s">
        <v>76</v>
      </c>
      <c r="D24">
        <v>0.17</v>
      </c>
      <c r="E24">
        <v>11.5</v>
      </c>
      <c r="F24">
        <v>7.4</v>
      </c>
      <c r="G24" s="10">
        <f t="shared" si="5"/>
        <v>9.1891891891891897E-2</v>
      </c>
      <c r="H24" s="5">
        <f>2.76*4%</f>
        <v>0.1104</v>
      </c>
      <c r="I24" s="5">
        <f>0.21/F24</f>
        <v>2.8378378378378376E-2</v>
      </c>
      <c r="J24" s="33">
        <v>4.84</v>
      </c>
      <c r="K24" s="33">
        <f t="shared" si="3"/>
        <v>8.742857142857142</v>
      </c>
      <c r="L24" s="5">
        <f t="shared" si="4"/>
        <v>0.1814671814671813</v>
      </c>
      <c r="M24">
        <v>12.1</v>
      </c>
      <c r="N24" s="5">
        <v>0.9466</v>
      </c>
      <c r="O24">
        <v>1.53</v>
      </c>
      <c r="P24" s="5">
        <v>0.11320000000000001</v>
      </c>
      <c r="Q24" s="5">
        <f t="shared" si="2"/>
        <v>0.12644628099173555</v>
      </c>
      <c r="R24" t="s">
        <v>68</v>
      </c>
      <c r="S24" t="s">
        <v>196</v>
      </c>
    </row>
    <row r="25" spans="1:19" x14ac:dyDescent="0.15">
      <c r="A25" t="s">
        <v>74</v>
      </c>
      <c r="D25">
        <v>0.52</v>
      </c>
      <c r="E25">
        <v>1.2395</v>
      </c>
      <c r="F25">
        <v>24.09</v>
      </c>
      <c r="G25" s="10">
        <f t="shared" si="5"/>
        <v>8.6342880863428811E-2</v>
      </c>
      <c r="H25" s="5">
        <f>3.26*4%</f>
        <v>0.13039999999999999</v>
      </c>
      <c r="I25" s="5">
        <f>0.8/F25</f>
        <v>3.3208800332088007E-2</v>
      </c>
      <c r="J25" s="33">
        <v>16.05</v>
      </c>
      <c r="K25" s="33">
        <f t="shared" si="3"/>
        <v>26.74285714285714</v>
      </c>
      <c r="L25" s="5">
        <f t="shared" si="4"/>
        <v>0.11012275395837029</v>
      </c>
      <c r="M25">
        <v>2.2599999999999998</v>
      </c>
      <c r="N25" s="5">
        <v>7.7699999999999991E-2</v>
      </c>
      <c r="O25">
        <v>0.30299999999999999</v>
      </c>
      <c r="P25" s="5">
        <v>-0.108</v>
      </c>
      <c r="Q25" s="5">
        <f t="shared" si="2"/>
        <v>0.134070796460177</v>
      </c>
      <c r="R25" t="s">
        <v>75</v>
      </c>
      <c r="S25" t="s">
        <v>196</v>
      </c>
    </row>
    <row r="26" spans="1:19" x14ac:dyDescent="0.15">
      <c r="A26" t="s">
        <v>62</v>
      </c>
      <c r="D26">
        <v>0.26</v>
      </c>
      <c r="E26">
        <v>2.27</v>
      </c>
      <c r="F26">
        <v>17.98</v>
      </c>
      <c r="G26" s="5">
        <f t="shared" si="5"/>
        <v>5.78420467185762E-2</v>
      </c>
      <c r="I26" s="5">
        <f>0.118/F26</f>
        <v>6.5628476084538369E-3</v>
      </c>
      <c r="J26">
        <v>10</v>
      </c>
      <c r="K26">
        <f t="shared" ref="K26:K32" si="6">D26*4/0.07</f>
        <v>14.857142857142856</v>
      </c>
      <c r="L26" s="5">
        <f t="shared" si="4"/>
        <v>-0.17368504687748301</v>
      </c>
      <c r="M26">
        <v>2.21</v>
      </c>
      <c r="N26" s="5">
        <v>0.31940000000000002</v>
      </c>
      <c r="O26">
        <v>0.45</v>
      </c>
      <c r="P26" s="5">
        <v>0.31940000000000002</v>
      </c>
      <c r="Q26" s="5">
        <f t="shared" si="2"/>
        <v>0.20361990950226244</v>
      </c>
      <c r="R26" t="s">
        <v>63</v>
      </c>
      <c r="S26" t="s">
        <v>198</v>
      </c>
    </row>
    <row r="27" spans="1:19" x14ac:dyDescent="0.15">
      <c r="A27" t="s">
        <v>64</v>
      </c>
      <c r="D27">
        <v>0.34</v>
      </c>
      <c r="E27">
        <v>4.8499999999999996</v>
      </c>
      <c r="F27">
        <v>31.71</v>
      </c>
      <c r="G27" s="5">
        <f t="shared" si="5"/>
        <v>4.2888678650268054E-2</v>
      </c>
      <c r="H27" s="5">
        <f>4.64*4%</f>
        <v>0.18559999999999999</v>
      </c>
      <c r="I27" s="5">
        <f>0.6/F27</f>
        <v>1.8921475875118259E-2</v>
      </c>
      <c r="J27">
        <v>7.3</v>
      </c>
      <c r="K27">
        <f t="shared" si="6"/>
        <v>19.428571428571427</v>
      </c>
      <c r="L27" s="5">
        <f t="shared" si="4"/>
        <v>-0.38730459071045642</v>
      </c>
      <c r="M27">
        <v>9.3800000000000008</v>
      </c>
      <c r="N27" s="5">
        <v>0.1691</v>
      </c>
      <c r="O27">
        <v>1.61</v>
      </c>
      <c r="P27" s="5">
        <v>0.28739999999999999</v>
      </c>
      <c r="Q27" s="5">
        <f t="shared" si="2"/>
        <v>0.17164179104477612</v>
      </c>
      <c r="R27" t="s">
        <v>65</v>
      </c>
      <c r="S27" t="s">
        <v>198</v>
      </c>
    </row>
    <row r="28" spans="1:19" x14ac:dyDescent="0.15">
      <c r="A28" t="s">
        <v>66</v>
      </c>
      <c r="D28">
        <v>0.33</v>
      </c>
      <c r="E28">
        <v>13.16</v>
      </c>
      <c r="F28">
        <v>53.57</v>
      </c>
      <c r="G28" s="5">
        <f t="shared" si="5"/>
        <v>2.4640657084188913E-2</v>
      </c>
      <c r="H28" s="5">
        <f>7.45*4%</f>
        <v>0.29799999999999999</v>
      </c>
      <c r="I28" s="5">
        <f>0.238/F28</f>
        <v>4.4427851409370913E-3</v>
      </c>
      <c r="J28">
        <v>6.89</v>
      </c>
      <c r="K28">
        <f t="shared" si="6"/>
        <v>18.857142857142858</v>
      </c>
      <c r="L28" s="5">
        <f t="shared" si="4"/>
        <v>-0.64799061308301564</v>
      </c>
      <c r="M28">
        <v>26.57</v>
      </c>
      <c r="N28" s="5">
        <v>0.40439999999999998</v>
      </c>
      <c r="O28">
        <v>4.04</v>
      </c>
      <c r="P28" s="5">
        <v>0.44740000000000002</v>
      </c>
      <c r="Q28" s="5">
        <f t="shared" si="2"/>
        <v>0.15205118554761007</v>
      </c>
      <c r="R28" t="s">
        <v>67</v>
      </c>
      <c r="S28" t="s">
        <v>198</v>
      </c>
    </row>
    <row r="29" spans="1:19" x14ac:dyDescent="0.15">
      <c r="A29" t="s">
        <v>69</v>
      </c>
      <c r="D29">
        <v>0.43</v>
      </c>
      <c r="E29">
        <v>9.7899999999999991</v>
      </c>
      <c r="F29">
        <v>27.08</v>
      </c>
      <c r="G29" s="5">
        <f t="shared" si="5"/>
        <v>6.3515509601181686E-2</v>
      </c>
      <c r="H29" s="5">
        <f>4.21*4%</f>
        <v>0.16839999999999999</v>
      </c>
      <c r="I29" s="5">
        <f>0.46/F29</f>
        <v>1.6986706056129987E-2</v>
      </c>
      <c r="J29">
        <v>10.48</v>
      </c>
      <c r="K29">
        <f t="shared" si="6"/>
        <v>24.571428571428569</v>
      </c>
      <c r="L29" s="5">
        <f t="shared" si="4"/>
        <v>-9.2635577125975962E-2</v>
      </c>
      <c r="M29">
        <v>33.799999999999997</v>
      </c>
      <c r="N29" s="5">
        <v>0.37590000000000001</v>
      </c>
      <c r="O29">
        <v>3.91</v>
      </c>
      <c r="P29" s="5">
        <v>0.107</v>
      </c>
      <c r="Q29" s="5">
        <f t="shared" si="2"/>
        <v>0.11568047337278108</v>
      </c>
      <c r="R29" t="s">
        <v>70</v>
      </c>
      <c r="S29" t="s">
        <v>198</v>
      </c>
    </row>
    <row r="30" spans="1:19" x14ac:dyDescent="0.15">
      <c r="A30" t="s">
        <v>71</v>
      </c>
      <c r="D30">
        <v>0.79</v>
      </c>
      <c r="E30">
        <v>66.239999999999995</v>
      </c>
      <c r="F30">
        <v>48.3</v>
      </c>
      <c r="G30" s="5">
        <f t="shared" si="5"/>
        <v>6.5424430641821948E-2</v>
      </c>
      <c r="H30" s="5">
        <f>6.86*4%</f>
        <v>0.27440000000000003</v>
      </c>
      <c r="I30" s="5">
        <f>1.2/F30</f>
        <v>2.4844720496894412E-2</v>
      </c>
      <c r="J30">
        <v>12.03</v>
      </c>
      <c r="K30">
        <f t="shared" si="6"/>
        <v>45.142857142857139</v>
      </c>
      <c r="L30" s="5">
        <f t="shared" si="4"/>
        <v>-6.5365276545400794E-2</v>
      </c>
      <c r="M30">
        <v>697.38</v>
      </c>
      <c r="N30" s="5">
        <v>0.16700000000000001</v>
      </c>
      <c r="O30">
        <v>50.77</v>
      </c>
      <c r="P30" s="5">
        <v>0.19109999999999999</v>
      </c>
      <c r="Q30" s="5">
        <f t="shared" si="2"/>
        <v>7.2801055378703156E-2</v>
      </c>
      <c r="R30" t="s">
        <v>72</v>
      </c>
      <c r="S30" t="s">
        <v>198</v>
      </c>
    </row>
    <row r="31" spans="1:19" x14ac:dyDescent="0.15">
      <c r="A31" t="s">
        <v>73</v>
      </c>
      <c r="D31">
        <v>0.93</v>
      </c>
      <c r="E31">
        <v>6.54</v>
      </c>
      <c r="F31">
        <v>53.5</v>
      </c>
      <c r="G31" s="5">
        <f t="shared" si="5"/>
        <v>6.9532710280373833E-2</v>
      </c>
      <c r="H31" s="5">
        <f>6*4%</f>
        <v>0.24</v>
      </c>
      <c r="I31" s="5">
        <f>0.9/F31</f>
        <v>1.6822429906542057E-2</v>
      </c>
      <c r="J31">
        <v>16.010000000000002</v>
      </c>
      <c r="K31">
        <f t="shared" si="6"/>
        <v>53.142857142857139</v>
      </c>
      <c r="L31" s="5">
        <f t="shared" si="4"/>
        <v>-6.6755674232310503E-3</v>
      </c>
      <c r="M31">
        <v>16.96</v>
      </c>
      <c r="N31" s="5">
        <v>1.17E-2</v>
      </c>
      <c r="O31">
        <v>5.97</v>
      </c>
      <c r="P31" s="5">
        <v>2.0199999999999999E-2</v>
      </c>
      <c r="Q31" s="5">
        <f t="shared" si="2"/>
        <v>0.35200471698113206</v>
      </c>
      <c r="R31" t="s">
        <v>70</v>
      </c>
      <c r="S31" t="s">
        <v>198</v>
      </c>
    </row>
    <row r="32" spans="1:19" x14ac:dyDescent="0.15">
      <c r="A32" t="s">
        <v>77</v>
      </c>
      <c r="D32">
        <v>0.26</v>
      </c>
      <c r="E32">
        <v>3.07</v>
      </c>
      <c r="F32">
        <v>17.100000000000001</v>
      </c>
      <c r="G32" s="5">
        <f t="shared" si="5"/>
        <v>6.0818713450292397E-2</v>
      </c>
      <c r="H32" s="5">
        <f>3.61*4%</f>
        <v>0.1444</v>
      </c>
      <c r="I32" s="5">
        <f>0.5/F32</f>
        <v>2.9239766081871343E-2</v>
      </c>
      <c r="J32">
        <v>7.24</v>
      </c>
      <c r="K32">
        <f t="shared" si="6"/>
        <v>14.857142857142856</v>
      </c>
      <c r="L32" s="5">
        <f t="shared" si="4"/>
        <v>-0.13116123642439448</v>
      </c>
      <c r="M32">
        <v>2.63</v>
      </c>
      <c r="N32" s="5"/>
      <c r="O32">
        <v>0.79</v>
      </c>
      <c r="P32" s="5"/>
      <c r="Q32" s="5">
        <f t="shared" si="2"/>
        <v>0.30038022813688214</v>
      </c>
      <c r="R32" t="s">
        <v>78</v>
      </c>
      <c r="S32" t="s">
        <v>198</v>
      </c>
    </row>
  </sheetData>
  <sortState ref="A2:S27">
    <sortCondition descending="1" ref="L1"/>
  </sortState>
  <phoneticPr fontId="2" type="noConversion"/>
  <dataValidations count="1">
    <dataValidation type="list" allowBlank="1" showInputMessage="1" showErrorMessage="1" sqref="S2:S32">
      <formula1>"每股收益率&gt;7%,低价优质股,市场价格低于净资产价格,基于研发投入"</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
  <sheetViews>
    <sheetView zoomScaleNormal="100" workbookViewId="0">
      <selection activeCell="G3" sqref="G3"/>
    </sheetView>
  </sheetViews>
  <sheetFormatPr defaultRowHeight="13.5" x14ac:dyDescent="0.15"/>
  <cols>
    <col min="1" max="1" width="10.75" customWidth="1"/>
    <col min="2" max="2" width="24.75" style="33" customWidth="1"/>
    <col min="3" max="4" width="24.75" customWidth="1"/>
    <col min="5" max="6" width="27.125" customWidth="1"/>
    <col min="7" max="8" width="26.375" customWidth="1"/>
    <col min="9" max="10" width="14" customWidth="1"/>
    <col min="11" max="11" width="12.5" customWidth="1"/>
    <col min="16" max="16" width="15.25" customWidth="1"/>
    <col min="17" max="17" width="15.5" customWidth="1"/>
    <col min="18" max="18" width="24.125" customWidth="1"/>
    <col min="19" max="19" width="22.625" customWidth="1"/>
    <col min="20" max="20" width="24.5" customWidth="1"/>
    <col min="21" max="21" width="26.625" customWidth="1"/>
    <col min="22" max="23" width="21" customWidth="1"/>
  </cols>
  <sheetData>
    <row r="1" spans="1:25" ht="13.5" customHeight="1" x14ac:dyDescent="0.15">
      <c r="B1" s="72" t="s">
        <v>199</v>
      </c>
      <c r="C1" s="72"/>
      <c r="D1" s="72"/>
      <c r="E1" s="73" t="s">
        <v>83</v>
      </c>
      <c r="F1" s="73"/>
      <c r="G1" s="73"/>
      <c r="H1" s="73"/>
      <c r="I1" s="73"/>
      <c r="J1" s="73" t="s">
        <v>82</v>
      </c>
      <c r="K1" s="73"/>
      <c r="L1" s="73"/>
      <c r="M1" s="73"/>
      <c r="N1" s="73"/>
      <c r="O1" s="73"/>
      <c r="P1" s="73" t="s">
        <v>209</v>
      </c>
      <c r="Q1" s="73"/>
      <c r="R1" s="73"/>
      <c r="S1" s="73" t="s">
        <v>210</v>
      </c>
      <c r="T1" s="73"/>
      <c r="U1" s="73"/>
      <c r="V1" s="73" t="s">
        <v>193</v>
      </c>
      <c r="W1" s="73"/>
    </row>
    <row r="2" spans="1:25" ht="120" customHeight="1" x14ac:dyDescent="0.15">
      <c r="A2" s="1" t="s">
        <v>79</v>
      </c>
      <c r="B2" s="30" t="s">
        <v>201</v>
      </c>
      <c r="C2" s="42" t="s">
        <v>200</v>
      </c>
      <c r="D2" s="42" t="s">
        <v>194</v>
      </c>
      <c r="E2" s="1" t="s">
        <v>80</v>
      </c>
      <c r="F2" s="73" t="s">
        <v>345</v>
      </c>
      <c r="G2" s="73"/>
      <c r="H2" s="73"/>
      <c r="I2" s="1" t="s">
        <v>81</v>
      </c>
      <c r="J2" s="42" t="s">
        <v>223</v>
      </c>
      <c r="K2" s="42" t="s">
        <v>222</v>
      </c>
      <c r="L2" s="1" t="s">
        <v>84</v>
      </c>
      <c r="M2" s="41" t="s">
        <v>85</v>
      </c>
      <c r="N2" s="1" t="s">
        <v>86</v>
      </c>
      <c r="O2" s="1" t="s">
        <v>87</v>
      </c>
      <c r="P2" s="1" t="s">
        <v>98</v>
      </c>
      <c r="Q2" s="1" t="s">
        <v>97</v>
      </c>
      <c r="R2" s="42" t="s">
        <v>211</v>
      </c>
      <c r="S2" s="1" t="s">
        <v>99</v>
      </c>
      <c r="T2" s="1" t="s">
        <v>100</v>
      </c>
      <c r="U2" s="42" t="s">
        <v>214</v>
      </c>
      <c r="V2" s="42" t="s">
        <v>203</v>
      </c>
      <c r="W2" s="1"/>
      <c r="X2" s="1"/>
      <c r="Y2" s="1"/>
    </row>
    <row r="3" spans="1:25" ht="81" customHeight="1" x14ac:dyDescent="0.15">
      <c r="B3" s="30" t="s">
        <v>205</v>
      </c>
      <c r="C3" s="72" t="s">
        <v>202</v>
      </c>
      <c r="D3" s="72"/>
      <c r="F3" s="42" t="s">
        <v>401</v>
      </c>
      <c r="G3" s="42" t="s">
        <v>413</v>
      </c>
      <c r="H3" s="42"/>
      <c r="K3" s="72" t="s">
        <v>204</v>
      </c>
      <c r="L3" s="72"/>
      <c r="M3" s="72"/>
      <c r="N3" s="72"/>
      <c r="O3" s="72"/>
      <c r="P3" s="72" t="s">
        <v>212</v>
      </c>
      <c r="Q3" s="73"/>
      <c r="R3" s="73"/>
      <c r="V3" s="5"/>
      <c r="W3" s="5"/>
      <c r="X3" s="5"/>
      <c r="Y3" s="5"/>
    </row>
    <row r="4" spans="1:25" x14ac:dyDescent="0.15">
      <c r="A4" t="s">
        <v>96</v>
      </c>
      <c r="B4" s="33">
        <v>9.31</v>
      </c>
      <c r="C4" s="7">
        <f>(36-14)/3.7</f>
        <v>5.9459459459459456</v>
      </c>
      <c r="D4">
        <v>6.25</v>
      </c>
    </row>
    <row r="5" spans="1:25" s="17" customFormat="1" ht="12.75" customHeight="1" x14ac:dyDescent="0.15">
      <c r="A5" s="17" t="s">
        <v>206</v>
      </c>
      <c r="B5" s="32">
        <f>(12.3-0.76)/2.43</f>
        <v>4.7489711934156382</v>
      </c>
      <c r="C5" s="20">
        <f>(33.29-24.4)/2.43</f>
        <v>3.6584362139917697</v>
      </c>
      <c r="J5" s="18">
        <v>1.17E-2</v>
      </c>
      <c r="K5" s="18"/>
      <c r="O5" s="32">
        <f>208/17</f>
        <v>12.235294117647058</v>
      </c>
      <c r="P5" s="20">
        <f>33.29/23.89</f>
        <v>1.393470071159481</v>
      </c>
      <c r="Q5" s="20">
        <f>(33.28-4.05)/23.89</f>
        <v>1.2235244872331519</v>
      </c>
      <c r="R5" s="17" t="s">
        <v>215</v>
      </c>
      <c r="S5" s="45" t="s">
        <v>216</v>
      </c>
      <c r="T5" s="45" t="s">
        <v>216</v>
      </c>
      <c r="U5" s="45" t="s">
        <v>216</v>
      </c>
    </row>
    <row r="6" spans="1:25" x14ac:dyDescent="0.15">
      <c r="A6" t="s">
        <v>207</v>
      </c>
      <c r="B6" s="33">
        <f>(64.19-8.12-1.98)/10.75</f>
        <v>5.0316279069767447</v>
      </c>
      <c r="C6" s="7">
        <f>(38.43-16.02)/10.75</f>
        <v>2.0846511627906978</v>
      </c>
      <c r="J6" s="5">
        <v>6.3E-3</v>
      </c>
      <c r="K6" s="5"/>
      <c r="O6" s="33">
        <f>736/17</f>
        <v>43.294117647058826</v>
      </c>
    </row>
    <row r="7" spans="1:25" s="17" customFormat="1" x14ac:dyDescent="0.15">
      <c r="A7" s="17" t="s">
        <v>208</v>
      </c>
      <c r="B7" s="32">
        <f>(39.49-7.59)/11.61</f>
        <v>2.7476313522825153</v>
      </c>
      <c r="C7" s="20">
        <f>(28.47-3.13)/11.61</f>
        <v>2.1826012058570199</v>
      </c>
      <c r="J7" s="18">
        <v>1.6999999999999999E-3</v>
      </c>
      <c r="K7" s="18"/>
      <c r="O7" s="32">
        <f>557/15</f>
        <v>37.133333333333333</v>
      </c>
      <c r="P7" s="20">
        <f>248655/31297</f>
        <v>7.9450107039013327</v>
      </c>
      <c r="Q7" s="20">
        <f>(248655-10356)/31297</f>
        <v>7.6141163689810529</v>
      </c>
    </row>
    <row r="8" spans="1:25" x14ac:dyDescent="0.15">
      <c r="A8" t="s">
        <v>213</v>
      </c>
      <c r="B8" s="33">
        <f>(30.56-2.27)/22.78</f>
        <v>1.2418788410886741</v>
      </c>
      <c r="C8" s="7">
        <f>(41.16-16.75)/22.78</f>
        <v>1.071553994732221</v>
      </c>
      <c r="O8" s="33"/>
    </row>
    <row r="9" spans="1:25" s="17" customFormat="1" x14ac:dyDescent="0.15">
      <c r="A9" s="17" t="s">
        <v>217</v>
      </c>
      <c r="B9" s="32">
        <f>(51122-7348)/11200</f>
        <v>3.9083928571428572</v>
      </c>
      <c r="E9" s="17">
        <v>0.34</v>
      </c>
      <c r="F9" s="20">
        <f>NPV(5%,0.39,0.39,0.39,0.39,0.39)/1.1</f>
        <v>1.5349962741327448</v>
      </c>
      <c r="G9" s="20">
        <f>5.57/1.1</f>
        <v>5.0636363636363635</v>
      </c>
      <c r="H9" s="20"/>
      <c r="J9" s="18">
        <v>7.3000000000000001E-3</v>
      </c>
      <c r="K9" s="18"/>
      <c r="O9" s="32">
        <f>304/18</f>
        <v>16.888888888888889</v>
      </c>
      <c r="P9" s="20">
        <f>52367/28725</f>
        <v>1.8230461270670149</v>
      </c>
      <c r="Q9" s="20">
        <f>(52367-26519)/28725</f>
        <v>0.89984334203655347</v>
      </c>
    </row>
    <row r="10" spans="1:25" ht="12.75" customHeight="1" x14ac:dyDescent="0.15">
      <c r="A10" t="s">
        <v>221</v>
      </c>
      <c r="B10" s="33">
        <f>(140755-37289-28391)/40362</f>
        <v>1.8600416233090531</v>
      </c>
      <c r="E10">
        <v>0.97</v>
      </c>
      <c r="J10" s="5">
        <v>2.7000000000000001E-3</v>
      </c>
      <c r="K10" s="5">
        <v>0.41399999999999998</v>
      </c>
      <c r="O10" s="33">
        <v>37.799999999999997</v>
      </c>
      <c r="P10" s="7">
        <f>181671/111350</f>
        <v>1.6315312079030084</v>
      </c>
      <c r="Q10" s="7">
        <f>(181671-846)/111350</f>
        <v>1.6239335428828019</v>
      </c>
      <c r="R10" t="s">
        <v>224</v>
      </c>
    </row>
    <row r="11" spans="1:25" s="17" customFormat="1" x14ac:dyDescent="0.15">
      <c r="A11" s="17" t="s">
        <v>273</v>
      </c>
      <c r="B11" s="32">
        <f>(33.63-4.18)/9.08</f>
        <v>3.2433920704845818</v>
      </c>
      <c r="E11" s="17">
        <v>0.2</v>
      </c>
      <c r="J11" s="18">
        <v>5.4199999999999998E-2</v>
      </c>
      <c r="K11" s="18">
        <v>0.66410000000000002</v>
      </c>
      <c r="O11" s="32">
        <f>407/12</f>
        <v>33.916666666666664</v>
      </c>
      <c r="P11" s="20">
        <f>35.64/34.01</f>
        <v>1.0479270802705087</v>
      </c>
      <c r="Q11" s="20">
        <f>(35.64-19.6)/34.01</f>
        <v>0.47162599235518965</v>
      </c>
    </row>
    <row r="12" spans="1:25" x14ac:dyDescent="0.15">
      <c r="A12" t="s">
        <v>274</v>
      </c>
      <c r="B12" s="33">
        <f>(113.17-4.6)/11.687</f>
        <v>9.2898091896979569</v>
      </c>
      <c r="E12">
        <v>0.64</v>
      </c>
      <c r="J12" s="18">
        <v>1.26E-2</v>
      </c>
      <c r="K12" s="5">
        <v>0.49509999999999998</v>
      </c>
      <c r="O12" s="33">
        <f>936/32</f>
        <v>29.25</v>
      </c>
      <c r="P12" s="7">
        <f>246.35/174.58</f>
        <v>1.4111009279413449</v>
      </c>
      <c r="Q12" s="7">
        <f>(246.35-104.48)/174.58</f>
        <v>0.81263604078359486</v>
      </c>
    </row>
    <row r="13" spans="1:25" s="17" customFormat="1" x14ac:dyDescent="0.15">
      <c r="A13" s="17" t="s">
        <v>286</v>
      </c>
      <c r="B13" s="32">
        <f>(15.54-0.89)/2.95</f>
        <v>4.9661016949152534</v>
      </c>
      <c r="E13" s="17">
        <v>0.23</v>
      </c>
      <c r="F13" s="20">
        <f>NPV(5%,1.8,1.8,1.8,1.8,1.8)/2.95</f>
        <v>2.6417145786899914</v>
      </c>
      <c r="G13" s="20">
        <f>NPV(7%,2.13*1.1,2.13*1.1^2,2.13*1.1^3,2.13*1.1^4,2.13*1.1^5)/2.95</f>
        <v>3.925421744735921</v>
      </c>
      <c r="H13" s="20"/>
      <c r="J13" s="18">
        <v>3.7000000000000002E-3</v>
      </c>
      <c r="K13" s="18">
        <v>0.14749999999999999</v>
      </c>
      <c r="O13" s="32">
        <f>1389/17</f>
        <v>81.705882352941174</v>
      </c>
      <c r="P13" s="20">
        <f>7.37/2.66</f>
        <v>2.7706766917293231</v>
      </c>
      <c r="Q13" s="20">
        <f>(7.37-0.85)/2.66</f>
        <v>2.4511278195488724</v>
      </c>
    </row>
    <row r="14" spans="1:25" x14ac:dyDescent="0.15">
      <c r="A14" t="s">
        <v>292</v>
      </c>
      <c r="B14" s="7">
        <f>(22.44-0.39)/3.13</f>
        <v>7.0447284345047931</v>
      </c>
      <c r="J14" s="5">
        <v>2.0899999999999998E-2</v>
      </c>
      <c r="K14" s="5">
        <v>0.42470000000000002</v>
      </c>
      <c r="O14">
        <f>711/12</f>
        <v>59.25</v>
      </c>
      <c r="P14" s="7">
        <f>18.06/2.39</f>
        <v>7.556485355648535</v>
      </c>
      <c r="Q14" s="7">
        <f>(18.06-1.07)/2.39</f>
        <v>7.1087866108786599</v>
      </c>
    </row>
    <row r="15" spans="1:25" x14ac:dyDescent="0.15">
      <c r="A15" s="17" t="s">
        <v>344</v>
      </c>
      <c r="B15" s="33">
        <f>(197.69-21.02)/40.78</f>
        <v>4.3322707209416373</v>
      </c>
      <c r="E15" s="7"/>
      <c r="F15" s="7"/>
      <c r="J15" s="5">
        <v>1.1599999999999999E-2</v>
      </c>
      <c r="K15" s="5">
        <v>0.32219999999999999</v>
      </c>
      <c r="L15" s="5">
        <v>6.0000000000000001E-3</v>
      </c>
      <c r="O15">
        <f>975/20</f>
        <v>48.75</v>
      </c>
      <c r="P15" s="7">
        <f>115/16</f>
        <v>7.1875</v>
      </c>
      <c r="Q15" s="7">
        <f>(115-18)/16</f>
        <v>6.0625</v>
      </c>
    </row>
    <row r="16" spans="1:25" x14ac:dyDescent="0.15">
      <c r="E16" s="61"/>
      <c r="F16" s="61"/>
    </row>
    <row r="17" spans="5:7" x14ac:dyDescent="0.15">
      <c r="E17" s="7"/>
      <c r="F17" s="7"/>
    </row>
    <row r="18" spans="5:7" x14ac:dyDescent="0.15">
      <c r="E18" s="7"/>
      <c r="F18" s="7"/>
    </row>
    <row r="19" spans="5:7" x14ac:dyDescent="0.15">
      <c r="E19" s="7"/>
      <c r="F19" s="7"/>
    </row>
    <row r="20" spans="5:7" x14ac:dyDescent="0.15">
      <c r="E20" s="7"/>
      <c r="F20" s="7"/>
    </row>
    <row r="22" spans="5:7" x14ac:dyDescent="0.15">
      <c r="G22" t="s">
        <v>91</v>
      </c>
    </row>
  </sheetData>
  <mergeCells count="10">
    <mergeCell ref="B1:D1"/>
    <mergeCell ref="C3:D3"/>
    <mergeCell ref="V1:W1"/>
    <mergeCell ref="P1:R1"/>
    <mergeCell ref="S1:U1"/>
    <mergeCell ref="E1:I1"/>
    <mergeCell ref="K3:O3"/>
    <mergeCell ref="P3:R3"/>
    <mergeCell ref="J1:O1"/>
    <mergeCell ref="F2:H2"/>
  </mergeCells>
  <phoneticPr fontId="2" type="noConversion"/>
  <hyperlinks>
    <hyperlink ref="S5" r:id="rId1"/>
    <hyperlink ref="T5" r:id="rId2"/>
    <hyperlink ref="U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
  <sheetViews>
    <sheetView tabSelected="1" topLeftCell="Q1" workbookViewId="0">
      <selection activeCell="R2" sqref="R2"/>
    </sheetView>
  </sheetViews>
  <sheetFormatPr defaultRowHeight="13.5" x14ac:dyDescent="0.15"/>
  <cols>
    <col min="2" max="2" width="19.125" customWidth="1"/>
    <col min="8" max="8" width="24.25" customWidth="1"/>
    <col min="9" max="9" width="26.125" customWidth="1"/>
    <col min="12" max="12" width="11" customWidth="1"/>
    <col min="15" max="15" width="16" customWidth="1"/>
    <col min="16" max="16" width="22.5" customWidth="1"/>
    <col min="18" max="18" width="37.625" customWidth="1"/>
    <col min="19" max="19" width="7.75" customWidth="1"/>
    <col min="21" max="21" width="18.875" customWidth="1"/>
    <col min="22" max="22" width="7.625" customWidth="1"/>
    <col min="24" max="24" width="20.125" customWidth="1"/>
    <col min="25" max="25" width="17.375" customWidth="1"/>
    <col min="26" max="26" width="15.5" customWidth="1"/>
    <col min="27" max="27" width="21.5" customWidth="1"/>
    <col min="30" max="30" width="11.125" customWidth="1"/>
    <col min="31" max="31" width="15.625" customWidth="1"/>
  </cols>
  <sheetData>
    <row r="1" spans="1:31" ht="97.5" customHeight="1" x14ac:dyDescent="0.25">
      <c r="B1" s="74" t="s">
        <v>375</v>
      </c>
      <c r="C1" s="74"/>
      <c r="D1" s="74"/>
      <c r="E1" s="74"/>
      <c r="F1" s="74"/>
      <c r="G1" s="74"/>
      <c r="H1" s="74"/>
      <c r="I1" s="74"/>
      <c r="J1" s="74"/>
      <c r="K1" s="74"/>
      <c r="L1" s="74"/>
      <c r="M1" s="74"/>
      <c r="N1" s="74"/>
      <c r="O1" s="74"/>
      <c r="P1" s="74" t="s">
        <v>396</v>
      </c>
      <c r="Q1" s="74"/>
      <c r="R1" s="74"/>
      <c r="S1" s="74"/>
      <c r="T1" s="74"/>
      <c r="U1" s="74"/>
      <c r="V1" s="74"/>
      <c r="W1" s="74"/>
      <c r="X1" s="70" t="s">
        <v>400</v>
      </c>
      <c r="Y1" s="76" t="s">
        <v>401</v>
      </c>
      <c r="Z1" s="76"/>
      <c r="AA1" s="76"/>
      <c r="AB1" s="76"/>
      <c r="AC1" s="76"/>
      <c r="AD1" s="76"/>
      <c r="AE1" s="76"/>
    </row>
    <row r="2" spans="1:31" ht="12.75" customHeight="1" x14ac:dyDescent="0.15">
      <c r="B2" s="74" t="s">
        <v>380</v>
      </c>
      <c r="C2" s="74"/>
      <c r="D2" s="74"/>
      <c r="E2" s="74"/>
      <c r="F2" t="s">
        <v>384</v>
      </c>
      <c r="G2" t="s">
        <v>383</v>
      </c>
      <c r="H2" s="75" t="s">
        <v>385</v>
      </c>
      <c r="I2" s="75"/>
      <c r="J2" s="75"/>
      <c r="K2" s="75"/>
      <c r="L2" s="75"/>
      <c r="M2" s="75"/>
      <c r="N2" s="75"/>
      <c r="O2" t="s">
        <v>389</v>
      </c>
      <c r="Q2" t="s">
        <v>416</v>
      </c>
      <c r="R2" s="47" t="s">
        <v>417</v>
      </c>
      <c r="S2" s="47"/>
      <c r="T2" t="s">
        <v>416</v>
      </c>
      <c r="U2" t="s">
        <v>418</v>
      </c>
      <c r="Y2" s="75" t="s">
        <v>402</v>
      </c>
      <c r="Z2" s="75"/>
      <c r="AA2" s="68"/>
      <c r="AB2" s="75" t="s">
        <v>407</v>
      </c>
      <c r="AC2" s="75"/>
      <c r="AD2" s="75"/>
      <c r="AE2" s="69" t="s">
        <v>419</v>
      </c>
    </row>
    <row r="3" spans="1:31" ht="12.75" customHeight="1" x14ac:dyDescent="0.15">
      <c r="B3" s="71"/>
      <c r="C3" s="71"/>
      <c r="D3" s="71"/>
      <c r="E3" s="71"/>
      <c r="H3" s="64" t="s">
        <v>394</v>
      </c>
      <c r="I3" s="64" t="s">
        <v>395</v>
      </c>
      <c r="J3" s="68"/>
      <c r="K3" s="68"/>
      <c r="L3" s="68"/>
      <c r="M3" s="68"/>
      <c r="N3" s="68"/>
      <c r="Q3" s="75" t="s">
        <v>414</v>
      </c>
      <c r="R3" s="75"/>
      <c r="S3" s="69"/>
      <c r="T3" s="75" t="s">
        <v>415</v>
      </c>
      <c r="U3" s="75"/>
      <c r="V3" s="69"/>
      <c r="Y3" t="s">
        <v>405</v>
      </c>
      <c r="Z3" t="s">
        <v>406</v>
      </c>
      <c r="AA3" s="47" t="s">
        <v>412</v>
      </c>
      <c r="AE3" t="s">
        <v>420</v>
      </c>
    </row>
    <row r="4" spans="1:31" x14ac:dyDescent="0.15">
      <c r="B4" t="s">
        <v>376</v>
      </c>
      <c r="C4" t="s">
        <v>377</v>
      </c>
      <c r="D4" t="s">
        <v>378</v>
      </c>
      <c r="E4" t="s">
        <v>379</v>
      </c>
      <c r="F4" t="s">
        <v>381</v>
      </c>
      <c r="G4" t="s">
        <v>382</v>
      </c>
      <c r="H4" t="s">
        <v>386</v>
      </c>
      <c r="I4" t="s">
        <v>387</v>
      </c>
      <c r="J4" t="s">
        <v>296</v>
      </c>
      <c r="K4" t="s">
        <v>390</v>
      </c>
      <c r="L4" t="s">
        <v>391</v>
      </c>
      <c r="M4" t="s">
        <v>393</v>
      </c>
      <c r="N4" t="s">
        <v>392</v>
      </c>
      <c r="O4" t="s">
        <v>388</v>
      </c>
      <c r="P4" t="s">
        <v>397</v>
      </c>
      <c r="Q4" t="s">
        <v>398</v>
      </c>
      <c r="R4" t="s">
        <v>399</v>
      </c>
      <c r="S4" s="47" t="s">
        <v>421</v>
      </c>
      <c r="T4" t="s">
        <v>398</v>
      </c>
      <c r="U4" t="s">
        <v>399</v>
      </c>
      <c r="V4" t="s">
        <v>421</v>
      </c>
      <c r="W4" t="s">
        <v>423</v>
      </c>
      <c r="Y4" t="s">
        <v>403</v>
      </c>
      <c r="Z4" t="s">
        <v>404</v>
      </c>
      <c r="AA4" t="s">
        <v>411</v>
      </c>
      <c r="AB4" t="s">
        <v>408</v>
      </c>
      <c r="AC4" t="s">
        <v>409</v>
      </c>
      <c r="AD4" t="s">
        <v>410</v>
      </c>
    </row>
    <row r="5" spans="1:31" x14ac:dyDescent="0.15">
      <c r="A5" t="s">
        <v>422</v>
      </c>
      <c r="P5">
        <v>0.39</v>
      </c>
      <c r="Q5" s="5">
        <v>3.7249999999999998E-2</v>
      </c>
      <c r="R5" s="21">
        <v>0.1</v>
      </c>
      <c r="S5" s="5">
        <f>Q5*0.37+R5*0.63</f>
        <v>7.6782500000000004E-2</v>
      </c>
      <c r="W5" s="7">
        <f>P5/S5</f>
        <v>5.0792823885651028</v>
      </c>
    </row>
  </sheetData>
  <mergeCells count="9">
    <mergeCell ref="Y1:AE1"/>
    <mergeCell ref="P1:W1"/>
    <mergeCell ref="Q3:R3"/>
    <mergeCell ref="T3:U3"/>
    <mergeCell ref="B2:E2"/>
    <mergeCell ref="H2:N2"/>
    <mergeCell ref="B1:O1"/>
    <mergeCell ref="AB2:AD2"/>
    <mergeCell ref="Y2:Z2"/>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F2" sqref="F2"/>
    </sheetView>
  </sheetViews>
  <sheetFormatPr defaultRowHeight="13.5" x14ac:dyDescent="0.15"/>
  <cols>
    <col min="2" max="2" width="15.375" customWidth="1"/>
    <col min="3" max="3" width="21.125" customWidth="1"/>
    <col min="7" max="7" width="37.375" customWidth="1"/>
    <col min="8" max="8" width="23.625" customWidth="1"/>
    <col min="9" max="9" width="13.75" customWidth="1"/>
    <col min="10" max="10" width="32.75" customWidth="1"/>
    <col min="11" max="11" width="39.25" customWidth="1"/>
    <col min="12" max="12" width="33" customWidth="1"/>
  </cols>
  <sheetData>
    <row r="1" spans="1:12" x14ac:dyDescent="0.15">
      <c r="B1" s="73" t="s">
        <v>89</v>
      </c>
      <c r="C1" s="73"/>
      <c r="D1" s="73"/>
      <c r="E1" s="73"/>
      <c r="F1" s="73" t="s">
        <v>92</v>
      </c>
      <c r="G1" s="73"/>
      <c r="H1" s="73"/>
      <c r="I1" s="73" t="s">
        <v>95</v>
      </c>
      <c r="J1" s="73"/>
      <c r="K1" s="73"/>
    </row>
    <row r="2" spans="1:12" ht="13.5" customHeight="1" x14ac:dyDescent="0.15">
      <c r="A2" s="1" t="s">
        <v>79</v>
      </c>
      <c r="B2" s="42" t="s">
        <v>90</v>
      </c>
      <c r="C2" s="42" t="s">
        <v>192</v>
      </c>
      <c r="D2" s="42" t="s">
        <v>293</v>
      </c>
      <c r="E2" s="42" t="s">
        <v>281</v>
      </c>
      <c r="F2" s="42" t="s">
        <v>335</v>
      </c>
      <c r="G2" s="42" t="s">
        <v>93</v>
      </c>
      <c r="H2" s="42" t="s">
        <v>94</v>
      </c>
      <c r="I2" s="42" t="s">
        <v>114</v>
      </c>
      <c r="J2" s="72" t="s">
        <v>115</v>
      </c>
      <c r="K2" s="72"/>
      <c r="L2" s="42" t="s">
        <v>116</v>
      </c>
    </row>
    <row r="3" spans="1:12" ht="13.5" customHeight="1" x14ac:dyDescent="0.15">
      <c r="A3" s="1"/>
      <c r="B3" s="42"/>
      <c r="C3" s="42"/>
      <c r="D3" s="42"/>
      <c r="E3" s="42"/>
      <c r="F3" s="42"/>
      <c r="G3" s="42"/>
      <c r="H3" s="42"/>
      <c r="I3" s="42"/>
      <c r="J3" s="55" t="s">
        <v>284</v>
      </c>
      <c r="K3" s="60" t="s">
        <v>285</v>
      </c>
    </row>
    <row r="4" spans="1:12" ht="107.25" customHeight="1" x14ac:dyDescent="0.15">
      <c r="A4" t="s">
        <v>280</v>
      </c>
      <c r="B4">
        <v>237</v>
      </c>
      <c r="C4">
        <v>0</v>
      </c>
      <c r="D4">
        <v>132</v>
      </c>
      <c r="E4">
        <v>0</v>
      </c>
      <c r="F4">
        <v>2912</v>
      </c>
      <c r="H4" s="47" t="s">
        <v>282</v>
      </c>
      <c r="I4" s="47" t="s">
        <v>283</v>
      </c>
      <c r="J4" s="5">
        <v>0.36759999999999998</v>
      </c>
    </row>
    <row r="5" spans="1:12" x14ac:dyDescent="0.15">
      <c r="A5" t="s">
        <v>77</v>
      </c>
      <c r="B5">
        <f>27805-27085</f>
        <v>720</v>
      </c>
      <c r="C5">
        <v>0</v>
      </c>
    </row>
    <row r="6" spans="1:12" ht="96.75" customHeight="1" x14ac:dyDescent="0.15">
      <c r="A6" t="s">
        <v>334</v>
      </c>
      <c r="B6">
        <v>746</v>
      </c>
      <c r="C6">
        <v>0</v>
      </c>
      <c r="D6">
        <v>7579</v>
      </c>
      <c r="E6">
        <v>0</v>
      </c>
      <c r="F6">
        <v>5719</v>
      </c>
      <c r="H6" s="47" t="s">
        <v>336</v>
      </c>
      <c r="I6">
        <v>24</v>
      </c>
      <c r="J6" s="5">
        <f>(15.8-13.45)/15.8</f>
        <v>0.14873417721518994</v>
      </c>
    </row>
    <row r="39" spans="10:10" x14ac:dyDescent="0.15">
      <c r="J39" t="s">
        <v>88</v>
      </c>
    </row>
  </sheetData>
  <mergeCells count="4">
    <mergeCell ref="B1:E1"/>
    <mergeCell ref="F1:H1"/>
    <mergeCell ref="I1:K1"/>
    <mergeCell ref="J2:K2"/>
  </mergeCells>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workbookViewId="0">
      <selection activeCell="C1" sqref="C1"/>
    </sheetView>
  </sheetViews>
  <sheetFormatPr defaultRowHeight="13.5" x14ac:dyDescent="0.15"/>
  <cols>
    <col min="1" max="1" width="9" style="56"/>
    <col min="2" max="2" width="35.75" customWidth="1"/>
    <col min="3" max="3" width="34.625" customWidth="1"/>
    <col min="4" max="4" width="32.125" customWidth="1"/>
    <col min="5" max="5" width="13.125" customWidth="1"/>
    <col min="9" max="9" width="14" customWidth="1"/>
    <col min="10" max="10" width="23.875" customWidth="1"/>
    <col min="11" max="11" width="23.875" style="5" customWidth="1"/>
    <col min="12" max="12" width="23.875" style="33" customWidth="1"/>
    <col min="13" max="13" width="22.625" style="7"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55" t="s">
        <v>219</v>
      </c>
      <c r="B1" s="46" t="s">
        <v>218</v>
      </c>
      <c r="C1" s="48" t="s">
        <v>253</v>
      </c>
      <c r="D1" s="72" t="s">
        <v>227</v>
      </c>
      <c r="E1" s="72"/>
      <c r="F1" s="72"/>
      <c r="G1" s="72"/>
      <c r="H1" s="72"/>
      <c r="I1" s="72"/>
      <c r="J1" s="72" t="s">
        <v>234</v>
      </c>
      <c r="K1" s="72"/>
      <c r="L1" s="72"/>
      <c r="M1" s="72" t="s">
        <v>236</v>
      </c>
      <c r="N1" s="72"/>
      <c r="O1" s="49" t="s">
        <v>239</v>
      </c>
      <c r="P1" s="72" t="s">
        <v>241</v>
      </c>
      <c r="Q1" s="72"/>
      <c r="R1" s="49" t="s">
        <v>244</v>
      </c>
      <c r="S1" s="49" t="s">
        <v>246</v>
      </c>
      <c r="T1" s="51" t="s">
        <v>261</v>
      </c>
      <c r="U1" s="51" t="s">
        <v>272</v>
      </c>
      <c r="V1" s="51" t="s">
        <v>264</v>
      </c>
      <c r="W1" s="51" t="s">
        <v>266</v>
      </c>
      <c r="X1" s="51" t="s">
        <v>268</v>
      </c>
      <c r="Y1" s="54" t="s">
        <v>270</v>
      </c>
    </row>
    <row r="2" spans="1:25" ht="13.5" customHeight="1" x14ac:dyDescent="0.15">
      <c r="B2" t="s">
        <v>220</v>
      </c>
      <c r="J2" t="s">
        <v>237</v>
      </c>
    </row>
    <row r="3" spans="1:25" ht="150" customHeight="1" x14ac:dyDescent="0.15">
      <c r="A3" s="57" t="s">
        <v>277</v>
      </c>
      <c r="B3" s="47" t="s">
        <v>225</v>
      </c>
      <c r="C3" s="47" t="s">
        <v>226</v>
      </c>
      <c r="D3" s="47" t="s">
        <v>228</v>
      </c>
      <c r="E3" s="47" t="s">
        <v>229</v>
      </c>
      <c r="F3" s="47" t="s">
        <v>230</v>
      </c>
      <c r="G3" s="47" t="s">
        <v>231</v>
      </c>
      <c r="H3" s="47" t="s">
        <v>232</v>
      </c>
      <c r="I3" s="47" t="s">
        <v>233</v>
      </c>
      <c r="J3" s="47" t="s">
        <v>235</v>
      </c>
      <c r="K3" s="58" t="s">
        <v>259</v>
      </c>
      <c r="L3" s="52" t="s">
        <v>260</v>
      </c>
      <c r="M3" s="59" t="s">
        <v>279</v>
      </c>
      <c r="N3" s="47" t="s">
        <v>238</v>
      </c>
      <c r="O3" s="47" t="s">
        <v>240</v>
      </c>
      <c r="P3" s="47" t="s">
        <v>243</v>
      </c>
      <c r="Q3" s="47" t="s">
        <v>242</v>
      </c>
      <c r="R3" s="47" t="s">
        <v>245</v>
      </c>
      <c r="S3" s="47" t="s">
        <v>247</v>
      </c>
      <c r="T3" s="47" t="s">
        <v>262</v>
      </c>
      <c r="U3" s="47" t="s">
        <v>263</v>
      </c>
      <c r="V3" s="47" t="s">
        <v>265</v>
      </c>
      <c r="W3" s="47" t="s">
        <v>267</v>
      </c>
      <c r="X3" s="47" t="s">
        <v>269</v>
      </c>
      <c r="Y3" s="47" t="s">
        <v>271</v>
      </c>
    </row>
    <row r="4" spans="1:25" ht="126.75" customHeight="1" x14ac:dyDescent="0.15">
      <c r="A4" s="56" t="s">
        <v>275</v>
      </c>
      <c r="B4" s="47" t="s">
        <v>276</v>
      </c>
      <c r="C4" t="s">
        <v>287</v>
      </c>
      <c r="E4">
        <v>3.14</v>
      </c>
      <c r="G4">
        <v>2928</v>
      </c>
      <c r="H4">
        <v>127</v>
      </c>
      <c r="I4" s="47" t="s">
        <v>278</v>
      </c>
      <c r="J4" t="s">
        <v>288</v>
      </c>
      <c r="K4" s="5">
        <f>5484/93277</f>
        <v>5.879262840786046E-2</v>
      </c>
      <c r="L4" s="33">
        <f>59347/(5471+3458)/2</f>
        <v>3.32327248292082</v>
      </c>
      <c r="M4" s="7">
        <f>1.33/9.33</f>
        <v>0.14255091103965703</v>
      </c>
      <c r="O4" s="47" t="s">
        <v>289</v>
      </c>
      <c r="Q4">
        <v>0</v>
      </c>
      <c r="U4" t="s">
        <v>290</v>
      </c>
      <c r="Y4" t="s">
        <v>291</v>
      </c>
    </row>
    <row r="5" spans="1:25" ht="120.75" customHeight="1" x14ac:dyDescent="0.15">
      <c r="A5" s="56" t="s">
        <v>248</v>
      </c>
      <c r="B5" t="s">
        <v>249</v>
      </c>
      <c r="C5" t="s">
        <v>250</v>
      </c>
      <c r="D5" s="47"/>
      <c r="E5" s="7">
        <f>(12.42+17.3+18.81)/3</f>
        <v>16.176666666666666</v>
      </c>
      <c r="G5">
        <f>(14439+14665+11576)/3</f>
        <v>13560</v>
      </c>
      <c r="H5">
        <f>2442-208</f>
        <v>2234</v>
      </c>
      <c r="J5" t="s">
        <v>251</v>
      </c>
      <c r="K5" s="50">
        <f>4645/116233</f>
        <v>3.9962833274543377E-2</v>
      </c>
      <c r="L5" s="53">
        <f>19425/(22255+18429)/2</f>
        <v>0.23873021335168618</v>
      </c>
      <c r="M5" s="7">
        <f>(6814/116232+10687/84790+10923/61546)/3</f>
        <v>0.12071398227118028</v>
      </c>
      <c r="N5">
        <v>3</v>
      </c>
      <c r="O5">
        <v>2</v>
      </c>
      <c r="Q5" t="s">
        <v>252</v>
      </c>
    </row>
    <row r="6" spans="1:25" ht="81" x14ac:dyDescent="0.15">
      <c r="A6" s="56" t="s">
        <v>254</v>
      </c>
      <c r="B6" s="47" t="s">
        <v>255</v>
      </c>
      <c r="C6" s="47" t="s">
        <v>256</v>
      </c>
      <c r="E6">
        <v>4.32</v>
      </c>
      <c r="G6">
        <v>1330</v>
      </c>
      <c r="H6">
        <v>208</v>
      </c>
      <c r="J6" s="47" t="s">
        <v>257</v>
      </c>
      <c r="K6" s="50">
        <f>2618/30796</f>
        <v>8.5011040394856477E-2</v>
      </c>
      <c r="L6" s="53">
        <f>112664/(846+1671)/2</f>
        <v>22.380611839491458</v>
      </c>
      <c r="M6" s="7">
        <f>2618/30796</f>
        <v>8.5011040394856477E-2</v>
      </c>
      <c r="O6" s="47"/>
      <c r="Q6" t="s">
        <v>258</v>
      </c>
      <c r="R6" t="s">
        <v>258</v>
      </c>
    </row>
  </sheetData>
  <mergeCells count="4">
    <mergeCell ref="D1:I1"/>
    <mergeCell ref="M1:N1"/>
    <mergeCell ref="P1:Q1"/>
    <mergeCell ref="J1:L1"/>
  </mergeCells>
  <phoneticPr fontId="2" type="noConversion"/>
  <hyperlinks>
    <hyperlink ref="L3" r:id="rId1"/>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workbookViewId="0">
      <selection activeCell="V4" sqref="V4"/>
    </sheetView>
  </sheetViews>
  <sheetFormatPr defaultRowHeight="13.5" x14ac:dyDescent="0.15"/>
  <cols>
    <col min="1" max="1" width="10.375" customWidth="1"/>
    <col min="2" max="2" width="14.5" customWidth="1"/>
    <col min="3" max="3" width="16.25" customWidth="1"/>
    <col min="4" max="4" width="23.875" customWidth="1"/>
    <col min="5" max="5" width="27.375" customWidth="1"/>
    <col min="6" max="6" width="19.75" customWidth="1"/>
    <col min="8" max="9" width="13.25" customWidth="1"/>
    <col min="11" max="11" width="11.75" customWidth="1"/>
    <col min="12" max="12" width="16.75" customWidth="1"/>
    <col min="16" max="16" width="12.5" customWidth="1"/>
    <col min="21" max="21" width="12.875" customWidth="1"/>
    <col min="22" max="22" width="14.75" customWidth="1"/>
  </cols>
  <sheetData>
    <row r="1" spans="1:22" ht="14.25" x14ac:dyDescent="0.15">
      <c r="A1" s="66" t="s">
        <v>346</v>
      </c>
      <c r="B1" s="66"/>
      <c r="C1" s="66"/>
    </row>
    <row r="2" spans="1:22" ht="14.25" x14ac:dyDescent="0.15">
      <c r="A2" s="77" t="s">
        <v>347</v>
      </c>
      <c r="B2" s="77"/>
      <c r="C2" s="77"/>
    </row>
    <row r="3" spans="1:22" s="1" customFormat="1" x14ac:dyDescent="0.15">
      <c r="A3" s="73" t="s">
        <v>348</v>
      </c>
      <c r="B3" s="73"/>
      <c r="C3" s="73"/>
      <c r="D3" s="73"/>
      <c r="E3" s="73"/>
      <c r="F3" s="73"/>
      <c r="G3" s="73" t="s">
        <v>349</v>
      </c>
      <c r="H3" s="73"/>
      <c r="I3" s="73"/>
      <c r="J3" s="73" t="s">
        <v>350</v>
      </c>
      <c r="K3" s="73"/>
      <c r="L3" s="73"/>
      <c r="M3" s="73"/>
      <c r="N3" s="73"/>
      <c r="O3" s="73"/>
      <c r="P3" s="73"/>
      <c r="Q3" s="73" t="s">
        <v>367</v>
      </c>
      <c r="R3" s="73"/>
      <c r="S3" s="73"/>
      <c r="T3" s="73"/>
      <c r="U3" s="73"/>
      <c r="V3" s="73"/>
    </row>
    <row r="4" spans="1:22" s="65" customFormat="1" ht="36" x14ac:dyDescent="0.15">
      <c r="A4" s="65" t="s">
        <v>351</v>
      </c>
      <c r="B4" s="65" t="s">
        <v>352</v>
      </c>
      <c r="C4" s="65" t="s">
        <v>353</v>
      </c>
      <c r="D4" s="65" t="s">
        <v>354</v>
      </c>
      <c r="E4" s="67" t="s">
        <v>356</v>
      </c>
      <c r="F4" s="67" t="s">
        <v>355</v>
      </c>
      <c r="G4" s="65" t="s">
        <v>357</v>
      </c>
      <c r="H4" s="65" t="s">
        <v>358</v>
      </c>
      <c r="I4" s="65" t="s">
        <v>359</v>
      </c>
      <c r="J4" s="65" t="s">
        <v>361</v>
      </c>
      <c r="K4" s="65" t="s">
        <v>362</v>
      </c>
      <c r="L4" s="67" t="s">
        <v>374</v>
      </c>
      <c r="M4" s="65" t="s">
        <v>363</v>
      </c>
      <c r="N4" s="65" t="s">
        <v>364</v>
      </c>
      <c r="O4" s="65" t="s">
        <v>365</v>
      </c>
      <c r="P4" s="65" t="s">
        <v>366</v>
      </c>
      <c r="Q4" s="65" t="s">
        <v>368</v>
      </c>
      <c r="R4" s="65" t="s">
        <v>369</v>
      </c>
      <c r="S4" s="65" t="s">
        <v>370</v>
      </c>
      <c r="T4" s="65" t="s">
        <v>371</v>
      </c>
      <c r="U4" s="65" t="s">
        <v>372</v>
      </c>
      <c r="V4" s="65" t="s">
        <v>373</v>
      </c>
    </row>
  </sheetData>
  <mergeCells count="5">
    <mergeCell ref="A2:C2"/>
    <mergeCell ref="A3:F3"/>
    <mergeCell ref="G3:I3"/>
    <mergeCell ref="J3:P3"/>
    <mergeCell ref="Q3:V3"/>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G19" sqref="G19"/>
    </sheetView>
  </sheetViews>
  <sheetFormatPr defaultRowHeight="13.5" x14ac:dyDescent="0.15"/>
  <cols>
    <col min="1" max="1" width="83.125" customWidth="1"/>
    <col min="5" max="5" width="12.125" bestFit="1" customWidth="1"/>
  </cols>
  <sheetData>
    <row r="1" spans="1:4" x14ac:dyDescent="0.15">
      <c r="A1" s="1" t="s">
        <v>101</v>
      </c>
    </row>
    <row r="2" spans="1:4" x14ac:dyDescent="0.15">
      <c r="A2" s="1"/>
      <c r="B2" s="1" t="s">
        <v>106</v>
      </c>
    </row>
    <row r="3" spans="1:4" x14ac:dyDescent="0.15">
      <c r="A3" s="1"/>
      <c r="B3" s="1" t="s">
        <v>107</v>
      </c>
    </row>
    <row r="4" spans="1:4" x14ac:dyDescent="0.15">
      <c r="B4" s="1" t="s">
        <v>109</v>
      </c>
    </row>
    <row r="5" spans="1:4" x14ac:dyDescent="0.15">
      <c r="A5" s="1" t="s">
        <v>102</v>
      </c>
    </row>
    <row r="6" spans="1:4" x14ac:dyDescent="0.15">
      <c r="A6" s="1"/>
      <c r="B6" s="1" t="s">
        <v>110</v>
      </c>
    </row>
    <row r="7" spans="1:4" x14ac:dyDescent="0.15">
      <c r="A7" s="1"/>
      <c r="B7" s="1" t="s">
        <v>111</v>
      </c>
    </row>
    <row r="8" spans="1:4" x14ac:dyDescent="0.15">
      <c r="A8" s="1"/>
      <c r="B8" s="1" t="s">
        <v>112</v>
      </c>
    </row>
    <row r="9" spans="1:4" x14ac:dyDescent="0.15">
      <c r="A9" s="1" t="s">
        <v>104</v>
      </c>
    </row>
    <row r="10" spans="1:4" x14ac:dyDescent="0.15">
      <c r="A10" s="1"/>
      <c r="B10" s="1" t="s">
        <v>113</v>
      </c>
    </row>
    <row r="11" spans="1:4" x14ac:dyDescent="0.15">
      <c r="A11" s="1" t="s">
        <v>103</v>
      </c>
    </row>
    <row r="12" spans="1:4" x14ac:dyDescent="0.15">
      <c r="B12" s="1" t="s">
        <v>120</v>
      </c>
      <c r="C12" t="s">
        <v>105</v>
      </c>
    </row>
    <row r="13" spans="1:4" x14ac:dyDescent="0.15">
      <c r="B13" s="1" t="s">
        <v>121</v>
      </c>
    </row>
    <row r="14" spans="1:4" x14ac:dyDescent="0.15">
      <c r="A14" t="s">
        <v>108</v>
      </c>
      <c r="B14" s="1" t="s">
        <v>122</v>
      </c>
    </row>
    <row r="15" spans="1:4" x14ac:dyDescent="0.15">
      <c r="B15" s="1" t="s">
        <v>123</v>
      </c>
    </row>
    <row r="16" spans="1:4" x14ac:dyDescent="0.15">
      <c r="C16" t="s">
        <v>117</v>
      </c>
      <c r="D16">
        <v>1.75</v>
      </c>
    </row>
    <row r="17" spans="2:6" x14ac:dyDescent="0.15">
      <c r="C17" t="s">
        <v>118</v>
      </c>
      <c r="D17">
        <v>2</v>
      </c>
    </row>
    <row r="18" spans="2:6" x14ac:dyDescent="0.15">
      <c r="C18" t="s">
        <v>119</v>
      </c>
      <c r="D18">
        <v>3</v>
      </c>
    </row>
    <row r="19" spans="2:6" x14ac:dyDescent="0.15">
      <c r="C19" t="s">
        <v>124</v>
      </c>
    </row>
    <row r="20" spans="2:6" x14ac:dyDescent="0.15">
      <c r="C20" t="s">
        <v>125</v>
      </c>
    </row>
    <row r="21" spans="2:6" x14ac:dyDescent="0.15">
      <c r="C21" t="s">
        <v>126</v>
      </c>
    </row>
    <row r="22" spans="2:6" x14ac:dyDescent="0.15">
      <c r="B22" s="1" t="s">
        <v>127</v>
      </c>
    </row>
    <row r="23" spans="2:6" x14ac:dyDescent="0.15">
      <c r="B23" s="1" t="s">
        <v>131</v>
      </c>
    </row>
    <row r="24" spans="2:6" x14ac:dyDescent="0.15">
      <c r="C24" t="s">
        <v>128</v>
      </c>
    </row>
    <row r="25" spans="2:6" x14ac:dyDescent="0.15">
      <c r="C25" t="s">
        <v>129</v>
      </c>
    </row>
    <row r="26" spans="2:6" x14ac:dyDescent="0.15">
      <c r="C26" t="s">
        <v>130</v>
      </c>
    </row>
    <row r="27" spans="2:6" x14ac:dyDescent="0.15">
      <c r="B27" s="1" t="s">
        <v>136</v>
      </c>
    </row>
    <row r="28" spans="2:6" x14ac:dyDescent="0.15">
      <c r="C28" t="s">
        <v>132</v>
      </c>
    </row>
    <row r="29" spans="2:6" x14ac:dyDescent="0.15">
      <c r="C29" t="s">
        <v>133</v>
      </c>
    </row>
    <row r="30" spans="2:6" x14ac:dyDescent="0.15">
      <c r="C30" t="s">
        <v>134</v>
      </c>
    </row>
    <row r="31" spans="2:6" x14ac:dyDescent="0.15">
      <c r="C31" t="s">
        <v>135</v>
      </c>
    </row>
    <row r="32" spans="2:6" x14ac:dyDescent="0.15">
      <c r="D32" t="s">
        <v>137</v>
      </c>
      <c r="E32" t="s">
        <v>138</v>
      </c>
      <c r="F32" t="s">
        <v>139</v>
      </c>
    </row>
    <row r="33" spans="3:8" x14ac:dyDescent="0.15">
      <c r="D33" t="s">
        <v>140</v>
      </c>
      <c r="E33">
        <v>1.75</v>
      </c>
      <c r="F33" t="s">
        <v>144</v>
      </c>
    </row>
    <row r="34" spans="3:8" x14ac:dyDescent="0.15">
      <c r="D34" t="s">
        <v>141</v>
      </c>
      <c r="E34">
        <v>2</v>
      </c>
      <c r="F34" t="s">
        <v>145</v>
      </c>
    </row>
    <row r="35" spans="3:8" x14ac:dyDescent="0.15">
      <c r="D35" t="s">
        <v>142</v>
      </c>
      <c r="E35">
        <v>3</v>
      </c>
      <c r="F35" t="s">
        <v>143</v>
      </c>
    </row>
    <row r="36" spans="3:8" x14ac:dyDescent="0.15">
      <c r="C36" s="43" t="s">
        <v>146</v>
      </c>
      <c r="D36" s="43"/>
      <c r="E36" s="43"/>
      <c r="F36" s="43"/>
      <c r="G36" s="43"/>
      <c r="H36" s="43"/>
    </row>
    <row r="37" spans="3:8" x14ac:dyDescent="0.15">
      <c r="C37" s="43"/>
      <c r="D37" s="43" t="s">
        <v>147</v>
      </c>
      <c r="E37" s="43" t="s">
        <v>148</v>
      </c>
      <c r="F37" s="43"/>
      <c r="G37" s="43"/>
      <c r="H37" s="43"/>
    </row>
    <row r="38" spans="3:8" x14ac:dyDescent="0.15">
      <c r="C38" s="43"/>
      <c r="D38" s="43" t="s">
        <v>149</v>
      </c>
      <c r="E38" s="44">
        <v>14245</v>
      </c>
      <c r="F38" s="43"/>
      <c r="G38" s="43"/>
      <c r="H38" s="43"/>
    </row>
    <row r="39" spans="3:8" x14ac:dyDescent="0.15">
      <c r="C39" s="43"/>
      <c r="D39" s="43" t="s">
        <v>150</v>
      </c>
      <c r="E39" s="43">
        <v>37663000</v>
      </c>
      <c r="F39" s="43"/>
      <c r="G39" s="43"/>
      <c r="H39" s="43"/>
    </row>
    <row r="40" spans="3:8" x14ac:dyDescent="0.15">
      <c r="C40" s="43"/>
      <c r="D40" s="43" t="s">
        <v>151</v>
      </c>
      <c r="E40" s="43">
        <v>22554000</v>
      </c>
      <c r="F40" s="43"/>
      <c r="G40" s="43"/>
      <c r="H40" s="43"/>
    </row>
    <row r="41" spans="3:8" x14ac:dyDescent="0.15">
      <c r="C41" s="43"/>
      <c r="D41" s="43" t="s">
        <v>152</v>
      </c>
      <c r="E41" s="43" t="s">
        <v>163</v>
      </c>
      <c r="F41" s="43"/>
      <c r="G41" s="43"/>
      <c r="H41" s="43"/>
    </row>
    <row r="42" spans="3:8" x14ac:dyDescent="0.15">
      <c r="C42" s="43"/>
      <c r="D42" s="43" t="s">
        <v>153</v>
      </c>
      <c r="E42" s="43">
        <v>15109000</v>
      </c>
      <c r="F42" s="43"/>
      <c r="G42" s="43"/>
      <c r="H42" s="43"/>
    </row>
    <row r="43" spans="3:8" x14ac:dyDescent="0.15">
      <c r="C43" s="43"/>
      <c r="D43" s="43" t="s">
        <v>154</v>
      </c>
      <c r="E43" s="43">
        <v>1819000</v>
      </c>
      <c r="F43" s="43"/>
      <c r="G43" s="43"/>
      <c r="H43" s="43"/>
    </row>
    <row r="44" spans="3:8" x14ac:dyDescent="0.15">
      <c r="C44" s="43"/>
      <c r="D44" s="43" t="s">
        <v>155</v>
      </c>
      <c r="E44" s="43">
        <v>13290000</v>
      </c>
      <c r="F44" s="43"/>
      <c r="G44" s="43"/>
      <c r="H44" s="43"/>
    </row>
    <row r="45" spans="3:8" x14ac:dyDescent="0.15">
      <c r="C45" s="43"/>
      <c r="D45" s="43" t="s">
        <v>156</v>
      </c>
      <c r="E45" s="43">
        <v>1.55</v>
      </c>
      <c r="F45" s="43"/>
      <c r="G45" s="43"/>
      <c r="H45" s="43"/>
    </row>
    <row r="46" spans="3:8" x14ac:dyDescent="0.15">
      <c r="C46" s="43"/>
      <c r="D46" s="43" t="s">
        <v>157</v>
      </c>
      <c r="E46" s="43">
        <v>1.53</v>
      </c>
      <c r="F46" s="43"/>
      <c r="G46" s="43"/>
      <c r="H46" s="43"/>
    </row>
    <row r="47" spans="3:8" x14ac:dyDescent="0.15">
      <c r="C47" s="43"/>
      <c r="D47" s="43" t="s">
        <v>158</v>
      </c>
      <c r="E47" s="43">
        <v>438000000</v>
      </c>
      <c r="F47" s="43"/>
      <c r="G47" s="43"/>
      <c r="H47" s="43"/>
    </row>
    <row r="48" spans="3:8" x14ac:dyDescent="0.15">
      <c r="C48" s="43"/>
      <c r="D48" s="43" t="s">
        <v>159</v>
      </c>
      <c r="E48" s="43" t="s">
        <v>164</v>
      </c>
      <c r="F48" s="43"/>
      <c r="G48" s="43"/>
      <c r="H48" s="43"/>
    </row>
    <row r="49" spans="3:8" x14ac:dyDescent="0.15">
      <c r="C49" s="43"/>
      <c r="D49" s="43" t="s">
        <v>160</v>
      </c>
      <c r="E49" s="43" t="s">
        <v>165</v>
      </c>
      <c r="F49" s="43"/>
      <c r="G49" s="43"/>
      <c r="H49" s="43"/>
    </row>
    <row r="50" spans="3:8" x14ac:dyDescent="0.15">
      <c r="C50" s="43"/>
      <c r="D50" s="43" t="s">
        <v>161</v>
      </c>
      <c r="E50" s="43">
        <v>221000000</v>
      </c>
      <c r="F50" s="43"/>
      <c r="G50" s="43"/>
      <c r="H50" s="43"/>
    </row>
    <row r="51" spans="3:8" x14ac:dyDescent="0.15">
      <c r="C51" s="43"/>
      <c r="D51" s="43" t="s">
        <v>162</v>
      </c>
      <c r="E51" s="43" t="s">
        <v>166</v>
      </c>
      <c r="F51" s="43"/>
      <c r="G51" s="43"/>
      <c r="H51" s="43"/>
    </row>
    <row r="52" spans="3:8" x14ac:dyDescent="0.15">
      <c r="C52" t="s">
        <v>167</v>
      </c>
    </row>
    <row r="53" spans="3:8" x14ac:dyDescent="0.15">
      <c r="C53" t="s">
        <v>168</v>
      </c>
    </row>
    <row r="54" spans="3:8" x14ac:dyDescent="0.15">
      <c r="C54" t="s">
        <v>169</v>
      </c>
    </row>
    <row r="55" spans="3:8" x14ac:dyDescent="0.15">
      <c r="C55" t="s">
        <v>170</v>
      </c>
    </row>
    <row r="56" spans="3:8" x14ac:dyDescent="0.15">
      <c r="D56" t="s">
        <v>171</v>
      </c>
    </row>
    <row r="57" spans="3:8" x14ac:dyDescent="0.15">
      <c r="D57" t="s">
        <v>172</v>
      </c>
      <c r="E57">
        <v>10000</v>
      </c>
    </row>
    <row r="58" spans="3:8" x14ac:dyDescent="0.15">
      <c r="D58" t="s">
        <v>173</v>
      </c>
      <c r="E58">
        <v>2000000</v>
      </c>
    </row>
    <row r="59" spans="3:8" x14ac:dyDescent="0.15">
      <c r="D59" t="s">
        <v>174</v>
      </c>
      <c r="E59">
        <v>3000000</v>
      </c>
    </row>
    <row r="60" spans="3:8" x14ac:dyDescent="0.15">
      <c r="D60" t="s">
        <v>175</v>
      </c>
      <c r="E60">
        <v>5000000</v>
      </c>
    </row>
    <row r="61" spans="3:8" x14ac:dyDescent="0.15">
      <c r="D61" t="s">
        <v>176</v>
      </c>
    </row>
    <row r="62" spans="3:8" x14ac:dyDescent="0.15">
      <c r="D62" t="s">
        <v>178</v>
      </c>
      <c r="E62">
        <v>1.75</v>
      </c>
    </row>
    <row r="63" spans="3:8" x14ac:dyDescent="0.15">
      <c r="D63" t="s">
        <v>177</v>
      </c>
      <c r="E63">
        <v>2</v>
      </c>
    </row>
    <row r="64" spans="3:8" x14ac:dyDescent="0.15">
      <c r="D64" t="s">
        <v>179</v>
      </c>
      <c r="E64">
        <v>3</v>
      </c>
    </row>
    <row r="65" spans="4:5" x14ac:dyDescent="0.15">
      <c r="D65" t="s">
        <v>180</v>
      </c>
      <c r="E65">
        <v>2</v>
      </c>
    </row>
    <row r="66" spans="4:5" x14ac:dyDescent="0.15">
      <c r="D66" t="s">
        <v>181</v>
      </c>
    </row>
    <row r="67" spans="4:5" x14ac:dyDescent="0.15">
      <c r="D67" t="s">
        <v>190</v>
      </c>
      <c r="E67" t="s">
        <v>191</v>
      </c>
    </row>
    <row r="68" spans="4:5" x14ac:dyDescent="0.15">
      <c r="D68" t="s">
        <v>182</v>
      </c>
      <c r="E68" t="s">
        <v>183</v>
      </c>
    </row>
    <row r="69" spans="4:5" x14ac:dyDescent="0.15">
      <c r="D69" t="s">
        <v>184</v>
      </c>
    </row>
    <row r="70" spans="4:5" x14ac:dyDescent="0.15">
      <c r="D70" t="s">
        <v>140</v>
      </c>
      <c r="E70" t="s">
        <v>185</v>
      </c>
    </row>
    <row r="71" spans="4:5" x14ac:dyDescent="0.15">
      <c r="D71" t="s">
        <v>186</v>
      </c>
      <c r="E71" t="s">
        <v>187</v>
      </c>
    </row>
    <row r="72" spans="4:5" x14ac:dyDescent="0.15">
      <c r="D72" t="s">
        <v>188</v>
      </c>
      <c r="E72" t="s">
        <v>189</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zoomScaleNormal="100" workbookViewId="0">
      <selection activeCell="D3" sqref="D3"/>
    </sheetView>
  </sheetViews>
  <sheetFormatPr defaultRowHeight="13.5" x14ac:dyDescent="0.15"/>
  <cols>
    <col min="2" max="2" width="8.25" customWidth="1"/>
    <col min="3" max="3" width="10.625" customWidth="1"/>
    <col min="4" max="4" width="12.125" customWidth="1"/>
    <col min="5" max="5" width="9.25" customWidth="1"/>
    <col min="6" max="6" width="9" customWidth="1"/>
    <col min="7" max="7" width="12.25" customWidth="1"/>
    <col min="8" max="12" width="19.125" customWidth="1"/>
    <col min="13" max="13" width="27.625" customWidth="1"/>
    <col min="14" max="14" width="27.875" customWidth="1"/>
    <col min="15" max="15" width="19.125" customWidth="1"/>
    <col min="18" max="18" width="33.75" customWidth="1"/>
    <col min="19" max="19" width="29.25" customWidth="1"/>
    <col min="20" max="20" width="17.25" customWidth="1"/>
    <col min="21" max="21" width="21.5" customWidth="1"/>
    <col min="22" max="22" width="20.375" customWidth="1"/>
    <col min="23" max="23" width="28.875" customWidth="1"/>
    <col min="26" max="26" width="15.875" customWidth="1"/>
    <col min="27" max="27" width="16.25" customWidth="1"/>
  </cols>
  <sheetData>
    <row r="1" spans="1:27" ht="13.5" customHeight="1" x14ac:dyDescent="0.15">
      <c r="A1" t="s">
        <v>338</v>
      </c>
      <c r="B1" s="73" t="s">
        <v>315</v>
      </c>
      <c r="C1" s="73"/>
      <c r="D1" s="73"/>
      <c r="E1" s="73"/>
      <c r="F1" s="73"/>
      <c r="G1" s="73"/>
      <c r="H1" s="73"/>
      <c r="I1" s="73"/>
      <c r="J1" s="73"/>
      <c r="K1" s="73"/>
      <c r="L1" s="73"/>
      <c r="M1" s="73" t="s">
        <v>330</v>
      </c>
      <c r="N1" s="73"/>
      <c r="O1" s="73"/>
      <c r="P1" s="72" t="s">
        <v>303</v>
      </c>
      <c r="Q1" s="72"/>
      <c r="R1" s="72"/>
      <c r="S1" s="72"/>
      <c r="T1" s="72"/>
      <c r="U1" s="72" t="s">
        <v>305</v>
      </c>
      <c r="V1" s="72"/>
      <c r="W1" s="72"/>
      <c r="X1" s="72"/>
      <c r="Y1" s="72"/>
      <c r="Z1" s="72"/>
    </row>
    <row r="2" spans="1:27" x14ac:dyDescent="0.15">
      <c r="B2" s="75" t="s">
        <v>314</v>
      </c>
      <c r="C2" s="75"/>
      <c r="D2" s="75"/>
      <c r="E2" s="75" t="s">
        <v>317</v>
      </c>
      <c r="F2" s="75"/>
      <c r="G2" s="75"/>
      <c r="H2" s="75" t="s">
        <v>323</v>
      </c>
      <c r="I2" s="75"/>
      <c r="J2" s="75" t="s">
        <v>326</v>
      </c>
      <c r="K2" s="75"/>
      <c r="L2" s="75"/>
      <c r="M2" s="63"/>
      <c r="N2" s="64"/>
      <c r="O2" s="63"/>
      <c r="P2" s="75" t="s">
        <v>294</v>
      </c>
      <c r="Q2" s="75"/>
      <c r="R2" s="62" t="s">
        <v>298</v>
      </c>
      <c r="S2" s="75" t="s">
        <v>299</v>
      </c>
      <c r="T2" s="75"/>
      <c r="U2" s="75" t="s">
        <v>312</v>
      </c>
      <c r="V2" s="75"/>
      <c r="W2" s="75" t="s">
        <v>306</v>
      </c>
      <c r="X2" s="75"/>
      <c r="Y2" s="75"/>
      <c r="Z2" s="75" t="s">
        <v>307</v>
      </c>
      <c r="AA2" s="75"/>
    </row>
    <row r="3" spans="1:27" ht="189" x14ac:dyDescent="0.15">
      <c r="B3" s="47" t="s">
        <v>318</v>
      </c>
      <c r="C3" s="47" t="s">
        <v>319</v>
      </c>
      <c r="D3" s="47" t="s">
        <v>316</v>
      </c>
      <c r="E3" s="47" t="s">
        <v>320</v>
      </c>
      <c r="F3" s="47" t="s">
        <v>321</v>
      </c>
      <c r="G3" s="47" t="s">
        <v>322</v>
      </c>
      <c r="H3" s="47" t="s">
        <v>324</v>
      </c>
      <c r="I3" s="47" t="s">
        <v>325</v>
      </c>
      <c r="J3" s="47" t="s">
        <v>327</v>
      </c>
      <c r="K3" s="47" t="s">
        <v>329</v>
      </c>
      <c r="L3" s="47" t="s">
        <v>328</v>
      </c>
      <c r="M3" s="47" t="s">
        <v>333</v>
      </c>
      <c r="N3" s="47" t="s">
        <v>331</v>
      </c>
      <c r="O3" s="47" t="s">
        <v>332</v>
      </c>
      <c r="P3" t="s">
        <v>295</v>
      </c>
      <c r="Q3" t="s">
        <v>296</v>
      </c>
      <c r="R3" s="47" t="s">
        <v>297</v>
      </c>
      <c r="S3" s="47" t="s">
        <v>300</v>
      </c>
      <c r="T3" s="47" t="s">
        <v>301</v>
      </c>
      <c r="U3" s="47" t="s">
        <v>304</v>
      </c>
      <c r="V3" s="47" t="s">
        <v>313</v>
      </c>
      <c r="W3" s="47" t="s">
        <v>360</v>
      </c>
      <c r="X3" s="47" t="s">
        <v>310</v>
      </c>
      <c r="Y3" s="47" t="s">
        <v>311</v>
      </c>
      <c r="Z3" s="47" t="s">
        <v>308</v>
      </c>
      <c r="AA3" s="47" t="s">
        <v>309</v>
      </c>
    </row>
    <row r="4" spans="1:27" x14ac:dyDescent="0.15">
      <c r="A4" t="s">
        <v>337</v>
      </c>
      <c r="B4" t="s">
        <v>340</v>
      </c>
      <c r="C4" t="s">
        <v>341</v>
      </c>
      <c r="H4">
        <v>2</v>
      </c>
      <c r="J4" t="s">
        <v>340</v>
      </c>
      <c r="P4" s="78" t="s">
        <v>302</v>
      </c>
      <c r="Q4" s="78"/>
      <c r="R4" s="78"/>
      <c r="S4" s="78"/>
      <c r="T4" s="78"/>
    </row>
    <row r="5" spans="1:27" x14ac:dyDescent="0.15">
      <c r="P5" s="5">
        <f>3.4/(3.4+1.5+0.8+0.4)</f>
        <v>0.55737704918032782</v>
      </c>
      <c r="R5" t="s">
        <v>339</v>
      </c>
      <c r="S5">
        <v>234</v>
      </c>
      <c r="T5" s="21" t="s">
        <v>342</v>
      </c>
      <c r="V5" t="s">
        <v>343</v>
      </c>
    </row>
  </sheetData>
  <mergeCells count="14">
    <mergeCell ref="B1:L1"/>
    <mergeCell ref="P4:T4"/>
    <mergeCell ref="U2:V2"/>
    <mergeCell ref="B2:D2"/>
    <mergeCell ref="E2:G2"/>
    <mergeCell ref="H2:I2"/>
    <mergeCell ref="J2:L2"/>
    <mergeCell ref="M1:O1"/>
    <mergeCell ref="W2:Y2"/>
    <mergeCell ref="U1:Z1"/>
    <mergeCell ref="Z2:AA2"/>
    <mergeCell ref="P2:Q2"/>
    <mergeCell ref="P1:T1"/>
    <mergeCell ref="S2:T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选股逻辑</vt:lpstr>
      <vt:lpstr>资产负债表-低价股F</vt:lpstr>
      <vt:lpstr>估值方法</vt:lpstr>
      <vt:lpstr>损益表分析-收益股G</vt:lpstr>
      <vt:lpstr>成长股十五原则</vt:lpstr>
      <vt:lpstr>公司分析</vt:lpstr>
      <vt:lpstr>债券选择原则-H</vt:lpstr>
      <vt:lpstr>保守型投资要素</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2019-01-21T03:45:33Z</dcterms:modified>
</cp:coreProperties>
</file>