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065" yWindow="150" windowWidth="14745" windowHeight="11580" firstSheet="1" activeTab="1"/>
  </bookViews>
  <sheets>
    <sheet name="祝日" sheetId="2" state="hidden" r:id="rId1"/>
    <sheet name="勤務表" sheetId="4" r:id="rId2"/>
    <sheet name="SetData" sheetId="3" state="hidden" r:id="rId3"/>
    <sheet name="勤務表_客先提出用" sheetId="14" r:id="rId4"/>
  </sheets>
  <definedNames>
    <definedName name="ddd">祝日!$B$2:$B$30</definedName>
    <definedName name="HOLIDAY" localSheetId="3">祝日!$A$2:$A$30</definedName>
    <definedName name="HOLIDAY">祝日!$A$2:$A$30</definedName>
    <definedName name="LIST" localSheetId="3">祝日!$A$2:$B$30</definedName>
    <definedName name="LIST">祝日!$A$2:$B$30</definedName>
    <definedName name="LIST1">祝日!$A$2:$B$30</definedName>
    <definedName name="_xlnm.Print_Area" localSheetId="1">勤務表!$A$1:$AS$62</definedName>
    <definedName name="_xlnm.Print_Area" localSheetId="3">勤務表_客先提出用!$A$1:$AI$48</definedName>
    <definedName name="protect1">勤務表!$AO$4,勤務表!$AR$4,勤務表!$AS$4,勤務表!$G$6,勤務表!$G$7,勤務表!$S$6,勤務表!$S$7,勤務表!$AA$7,勤務表!$AC$6,勤務表!$AC$7</definedName>
    <definedName name="timeScale" localSheetId="3">SetData!$Q$3:$Q$6</definedName>
    <definedName name="timeScale">SetData!$Q$3:$Q$6</definedName>
    <definedName name="始業時間">勤務表!$BD$4</definedName>
    <definedName name="時間計算単位">SetData!$Q$3:$Q$7</definedName>
    <definedName name="出勤">勤務表!$K$13:$N$43</definedName>
    <definedName name="出勤区分">SetData!$C$19:$C$30</definedName>
    <definedName name="日間所定労働時間">勤務表!$BD$8</definedName>
    <definedName name="入力区">勤務表!$K$13:$R$43,勤務表!$L$6,勤務表!$L$7,勤務表!$W$6,勤務表!$AK$6,勤務表!$AK$7</definedName>
    <definedName name="備考3" localSheetId="3">SetData!$D$3:$D$15</definedName>
    <definedName name="備考3">SetData!$D$3:$D$15</definedName>
    <definedName name="部門" localSheetId="3">SetData!$I$3:$I$12</definedName>
    <definedName name="部門">SetData!$I$3:$I$11</definedName>
    <definedName name="役職" localSheetId="3">SetData!$J$3:$J$9</definedName>
    <definedName name="役職">SetData!$J$3:$J$9</definedName>
    <definedName name="労働時間" localSheetId="3">SetData!$O$3:$O$6</definedName>
    <definedName name="労働時間">SetData!$O$3:$O$8</definedName>
  </definedNames>
  <calcPr calcId="144525"/>
</workbook>
</file>

<file path=xl/calcChain.xml><?xml version="1.0" encoding="utf-8"?>
<calcChain xmlns="http://schemas.openxmlformats.org/spreadsheetml/2006/main">
  <c r="F46" i="4" l="1"/>
  <c r="T46" i="4"/>
  <c r="AF52" i="4"/>
  <c r="X52" i="4"/>
  <c r="T52" i="4"/>
  <c r="Q52" i="4"/>
  <c r="C19" i="3"/>
  <c r="AO52" i="4"/>
  <c r="AM52" i="4"/>
  <c r="AI52" i="4"/>
  <c r="AB52" i="4"/>
  <c r="M52" i="4"/>
  <c r="J52" i="4"/>
  <c r="A52" i="4"/>
  <c r="AM49" i="4"/>
  <c r="AF49" i="4"/>
  <c r="X49" i="4"/>
  <c r="A49" i="4"/>
  <c r="AT5" i="14"/>
  <c r="AT14" i="14"/>
  <c r="AY15" i="14"/>
  <c r="AY16" i="14"/>
  <c r="AY17" i="14"/>
  <c r="AY18" i="14"/>
  <c r="AY14" i="14"/>
  <c r="AT15" i="14"/>
  <c r="AT16" i="14"/>
  <c r="AT17" i="14"/>
  <c r="AT18" i="14"/>
  <c r="AT11" i="14"/>
  <c r="AT9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14" i="14"/>
  <c r="AE4" i="14"/>
  <c r="AA3" i="14"/>
  <c r="A14" i="14" s="1"/>
  <c r="AF3" i="14"/>
  <c r="BM46" i="14"/>
  <c r="BM45" i="14"/>
  <c r="BM44" i="14"/>
  <c r="BM43" i="14"/>
  <c r="BM42" i="14"/>
  <c r="BM41" i="14"/>
  <c r="BM40" i="14"/>
  <c r="BM39" i="14"/>
  <c r="BM38" i="14"/>
  <c r="BM37" i="14"/>
  <c r="BM36" i="14"/>
  <c r="BM35" i="14"/>
  <c r="BM34" i="14"/>
  <c r="BM33" i="14"/>
  <c r="BM32" i="14"/>
  <c r="BM31" i="14"/>
  <c r="BM30" i="14"/>
  <c r="BM29" i="14"/>
  <c r="BM28" i="14"/>
  <c r="BM27" i="14"/>
  <c r="BM26" i="14"/>
  <c r="BM25" i="14"/>
  <c r="BM24" i="14"/>
  <c r="BM23" i="14"/>
  <c r="BM22" i="14"/>
  <c r="AT22" i="14"/>
  <c r="AT23" i="14"/>
  <c r="BR10" i="14"/>
  <c r="BR9" i="14"/>
  <c r="H8" i="14"/>
  <c r="F8" i="14"/>
  <c r="D8" i="14"/>
  <c r="B8" i="14"/>
  <c r="BR5" i="14"/>
  <c r="BR4" i="14"/>
  <c r="BR3" i="14"/>
  <c r="BR2" i="14"/>
  <c r="A74" i="2"/>
  <c r="A73" i="2"/>
  <c r="B73" i="2" s="1"/>
  <c r="B74" i="2" s="1"/>
  <c r="CB14" i="4"/>
  <c r="CB15" i="4"/>
  <c r="CB16" i="4"/>
  <c r="CB17" i="4"/>
  <c r="CB18" i="4"/>
  <c r="CB19" i="4"/>
  <c r="CB20" i="4"/>
  <c r="CB21" i="4"/>
  <c r="CB22" i="4"/>
  <c r="CB23" i="4"/>
  <c r="CB24" i="4"/>
  <c r="CB25" i="4"/>
  <c r="CB26" i="4"/>
  <c r="CB27" i="4"/>
  <c r="CB28" i="4"/>
  <c r="CB29" i="4"/>
  <c r="CB30" i="4"/>
  <c r="CB31" i="4"/>
  <c r="CB32" i="4"/>
  <c r="CB33" i="4"/>
  <c r="CB34" i="4"/>
  <c r="CB35" i="4"/>
  <c r="CB36" i="4"/>
  <c r="CB37" i="4"/>
  <c r="AI49" i="4"/>
  <c r="CB38" i="4"/>
  <c r="CB39" i="4"/>
  <c r="CB40" i="4"/>
  <c r="CB41" i="4"/>
  <c r="CB42" i="4"/>
  <c r="CB43" i="4"/>
  <c r="CB13" i="4"/>
  <c r="I34" i="2"/>
  <c r="BN14" i="4"/>
  <c r="BN15" i="4"/>
  <c r="BN16" i="4"/>
  <c r="BN17" i="4"/>
  <c r="BN13" i="4"/>
  <c r="BN18" i="4" s="1"/>
  <c r="W7" i="4"/>
  <c r="I35" i="2"/>
  <c r="I36" i="2"/>
  <c r="J36" i="2" s="1"/>
  <c r="I37" i="2"/>
  <c r="J37" i="2"/>
  <c r="I38" i="2"/>
  <c r="I39" i="2"/>
  <c r="I40" i="2"/>
  <c r="J40" i="2" s="1"/>
  <c r="I41" i="2"/>
  <c r="I42" i="2"/>
  <c r="I43" i="2"/>
  <c r="I44" i="2"/>
  <c r="J44" i="2" s="1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J58" i="2" s="1"/>
  <c r="I59" i="2"/>
  <c r="J59" i="2" s="1"/>
  <c r="I60" i="2"/>
  <c r="I61" i="2"/>
  <c r="I62" i="2"/>
  <c r="I63" i="2"/>
  <c r="I64" i="2"/>
  <c r="H34" i="2"/>
  <c r="H35" i="2"/>
  <c r="H36" i="2"/>
  <c r="H37" i="2"/>
  <c r="H38" i="2"/>
  <c r="H39" i="2"/>
  <c r="H40" i="2"/>
  <c r="H41" i="2"/>
  <c r="J41" i="2"/>
  <c r="H42" i="2"/>
  <c r="H43" i="2"/>
  <c r="H44" i="2"/>
  <c r="H45" i="2"/>
  <c r="J45" i="2" s="1"/>
  <c r="H46" i="2"/>
  <c r="H47" i="2"/>
  <c r="H48" i="2"/>
  <c r="H49" i="2"/>
  <c r="H50" i="2"/>
  <c r="H51" i="2"/>
  <c r="H52" i="2"/>
  <c r="H53" i="2"/>
  <c r="H54" i="2"/>
  <c r="H55" i="2"/>
  <c r="H56" i="2"/>
  <c r="H57" i="2"/>
  <c r="J57" i="2" s="1"/>
  <c r="H58" i="2"/>
  <c r="H59" i="2"/>
  <c r="H60" i="2"/>
  <c r="H61" i="2"/>
  <c r="H62" i="2"/>
  <c r="J62" i="2" s="1"/>
  <c r="H63" i="2"/>
  <c r="H64" i="2"/>
  <c r="J64" i="2" s="1"/>
  <c r="AU44" i="4"/>
  <c r="A13" i="4"/>
  <c r="CC9" i="4"/>
  <c r="CB9" i="4"/>
  <c r="CD9" i="4"/>
  <c r="CA9" i="4"/>
  <c r="A1" i="2"/>
  <c r="A7" i="2" s="1"/>
  <c r="A22" i="2" s="1"/>
  <c r="B22" i="2" s="1"/>
  <c r="A10" i="2"/>
  <c r="A25" i="2"/>
  <c r="B25" i="2" s="1"/>
  <c r="CF8" i="4"/>
  <c r="CD8" i="4"/>
  <c r="CE8" i="4"/>
  <c r="CC8" i="4"/>
  <c r="CB8" i="4"/>
  <c r="CA8" i="4"/>
  <c r="CF4" i="4"/>
  <c r="CD4" i="4"/>
  <c r="CE4" i="4" s="1"/>
  <c r="CC4" i="4"/>
  <c r="CB4" i="4"/>
  <c r="CA4" i="4"/>
  <c r="CF3" i="4"/>
  <c r="CD3" i="4"/>
  <c r="CE3" i="4"/>
  <c r="CC3" i="4"/>
  <c r="CB3" i="4" s="1"/>
  <c r="CA3" i="4"/>
  <c r="CF2" i="4"/>
  <c r="CD2" i="4"/>
  <c r="CE2" i="4"/>
  <c r="CC2" i="4"/>
  <c r="CB2" i="4"/>
  <c r="CA2" i="4"/>
  <c r="CF1" i="4"/>
  <c r="CE1" i="4"/>
  <c r="CD1" i="4"/>
  <c r="CC1" i="4"/>
  <c r="CB1" i="4"/>
  <c r="CA1" i="4"/>
  <c r="AT20" i="14"/>
  <c r="AT21" i="14"/>
  <c r="AT19" i="14"/>
  <c r="B17" i="2"/>
  <c r="AB49" i="4"/>
  <c r="A75" i="2"/>
  <c r="A2" i="2"/>
  <c r="A15" i="2"/>
  <c r="A30" i="2" s="1"/>
  <c r="B30" i="2" s="1"/>
  <c r="A9" i="2"/>
  <c r="A24" i="2"/>
  <c r="B24" i="2" s="1"/>
  <c r="A6" i="2"/>
  <c r="A21" i="2" s="1"/>
  <c r="B21" i="2" s="1"/>
  <c r="A14" i="2"/>
  <c r="A29" i="2"/>
  <c r="B29" i="2"/>
  <c r="A12" i="2"/>
  <c r="A27" i="2"/>
  <c r="B27" i="2"/>
  <c r="J56" i="2"/>
  <c r="D52" i="4"/>
  <c r="BO13" i="4"/>
  <c r="S13" i="4"/>
  <c r="A14" i="4"/>
  <c r="S14" i="4" s="1"/>
  <c r="BP13" i="4"/>
  <c r="J60" i="2" l="1"/>
  <c r="J55" i="2"/>
  <c r="J34" i="2"/>
  <c r="J43" i="2"/>
  <c r="J38" i="2"/>
  <c r="J53" i="2"/>
  <c r="J52" i="2"/>
  <c r="J46" i="2"/>
  <c r="J39" i="2"/>
  <c r="J35" i="2"/>
  <c r="BZ23" i="4"/>
  <c r="BZ21" i="4"/>
  <c r="A15" i="14"/>
  <c r="C14" i="14"/>
  <c r="N14" i="14"/>
  <c r="T14" i="14" s="1"/>
  <c r="BZ33" i="4"/>
  <c r="A8" i="2"/>
  <c r="A23" i="2" s="1"/>
  <c r="B23" i="2" s="1"/>
  <c r="BO14" i="4"/>
  <c r="BP14" i="4"/>
  <c r="J42" i="2"/>
  <c r="A16" i="2"/>
  <c r="J48" i="2"/>
  <c r="D13" i="4"/>
  <c r="A13" i="2"/>
  <c r="A28" i="2" s="1"/>
  <c r="B28" i="2" s="1"/>
  <c r="A11" i="2"/>
  <c r="A26" i="2" s="1"/>
  <c r="B26" i="2" s="1"/>
  <c r="J61" i="2"/>
  <c r="A4" i="2"/>
  <c r="A19" i="2" s="1"/>
  <c r="B19" i="2" s="1"/>
  <c r="BZ38" i="4"/>
  <c r="A15" i="4"/>
  <c r="A3" i="2"/>
  <c r="A18" i="2" s="1"/>
  <c r="B18" i="2" s="1"/>
  <c r="D14" i="4"/>
  <c r="A5" i="2"/>
  <c r="A20" i="2" s="1"/>
  <c r="B20" i="2" s="1"/>
  <c r="J54" i="2"/>
  <c r="J50" i="2"/>
  <c r="J47" i="2"/>
  <c r="J49" i="2"/>
  <c r="J63" i="2"/>
  <c r="J51" i="2"/>
  <c r="R8" i="14"/>
  <c r="BZ30" i="4"/>
  <c r="BZ34" i="4"/>
  <c r="BZ26" i="4"/>
  <c r="Y13" i="4"/>
  <c r="BZ24" i="4"/>
  <c r="BZ35" i="4"/>
  <c r="BZ42" i="4"/>
  <c r="BZ36" i="4"/>
  <c r="BZ25" i="4"/>
  <c r="BZ32" i="4"/>
  <c r="BZ39" i="4"/>
  <c r="BZ31" i="4"/>
  <c r="BZ41" i="4"/>
  <c r="BZ27" i="4"/>
  <c r="BZ29" i="4"/>
  <c r="BZ22" i="4"/>
  <c r="BZ40" i="4"/>
  <c r="BZ37" i="4"/>
  <c r="BZ28" i="4"/>
  <c r="A35" i="2" l="1"/>
  <c r="BQ13" i="4"/>
  <c r="BR13" i="4" s="1"/>
  <c r="BU13" i="4" s="1"/>
  <c r="BQ14" i="4"/>
  <c r="BR14" i="4" s="1"/>
  <c r="A16" i="4"/>
  <c r="BO15" i="4"/>
  <c r="A36" i="2"/>
  <c r="BP15" i="4"/>
  <c r="D15" i="4"/>
  <c r="S15" i="4"/>
  <c r="N15" i="14"/>
  <c r="C15" i="14"/>
  <c r="A16" i="14"/>
  <c r="BQ15" i="4"/>
  <c r="BR15" i="4" s="1"/>
  <c r="A34" i="2"/>
  <c r="AU13" i="4"/>
  <c r="AV13" i="4" s="1"/>
  <c r="BT13" i="4"/>
  <c r="BS13" i="4"/>
  <c r="E34" i="2"/>
  <c r="D34" i="2"/>
  <c r="F34" i="2"/>
  <c r="C34" i="2"/>
  <c r="BU15" i="4" l="1"/>
  <c r="V13" i="4"/>
  <c r="Q14" i="14"/>
  <c r="V15" i="4"/>
  <c r="Y15" i="4" s="1"/>
  <c r="Q16" i="14"/>
  <c r="T16" i="14" s="1"/>
  <c r="C16" i="14"/>
  <c r="A17" i="14"/>
  <c r="N16" i="14"/>
  <c r="BO16" i="4"/>
  <c r="A37" i="2"/>
  <c r="BP16" i="4"/>
  <c r="BQ16" i="4"/>
  <c r="S16" i="4"/>
  <c r="A17" i="4"/>
  <c r="D16" i="4"/>
  <c r="Q15" i="14"/>
  <c r="T15" i="14" s="1"/>
  <c r="V14" i="4"/>
  <c r="Y14" i="4" s="1"/>
  <c r="BW13" i="4"/>
  <c r="AG13" i="4"/>
  <c r="AI13" i="4"/>
  <c r="AE13" i="4"/>
  <c r="D36" i="2" l="1"/>
  <c r="BS15" i="4"/>
  <c r="C36" i="2"/>
  <c r="F36" i="2"/>
  <c r="AU15" i="4"/>
  <c r="AV15" i="4" s="1"/>
  <c r="BT15" i="4"/>
  <c r="E36" i="2"/>
  <c r="C17" i="14"/>
  <c r="A18" i="14"/>
  <c r="N17" i="14"/>
  <c r="BS14" i="4"/>
  <c r="AU14" i="4"/>
  <c r="AV14" i="4" s="1"/>
  <c r="D35" i="2"/>
  <c r="E35" i="2"/>
  <c r="BT14" i="4"/>
  <c r="F35" i="2"/>
  <c r="C35" i="2"/>
  <c r="BU14" i="4"/>
  <c r="BR16" i="4"/>
  <c r="A18" i="4"/>
  <c r="BQ17" i="4"/>
  <c r="D17" i="4"/>
  <c r="A38" i="2"/>
  <c r="BP17" i="4"/>
  <c r="BO17" i="4"/>
  <c r="S17" i="4"/>
  <c r="V16" i="4"/>
  <c r="Y16" i="4" s="1"/>
  <c r="Q17" i="14"/>
  <c r="T17" i="14" s="1"/>
  <c r="AC13" i="4"/>
  <c r="Q18" i="14" l="1"/>
  <c r="V17" i="4"/>
  <c r="Y17" i="4" s="1"/>
  <c r="F38" i="2" s="1"/>
  <c r="A39" i="2"/>
  <c r="BO18" i="4"/>
  <c r="S18" i="4"/>
  <c r="A19" i="4"/>
  <c r="BP18" i="4"/>
  <c r="BQ18" i="4"/>
  <c r="D18" i="4"/>
  <c r="BU16" i="4"/>
  <c r="AU16" i="4"/>
  <c r="AV16" i="4" s="1"/>
  <c r="D37" i="2"/>
  <c r="E37" i="2"/>
  <c r="C37" i="2"/>
  <c r="BT16" i="4"/>
  <c r="F37" i="2"/>
  <c r="BS16" i="4"/>
  <c r="AE14" i="4"/>
  <c r="AC14" i="4"/>
  <c r="BW14" i="4"/>
  <c r="AI14" i="4"/>
  <c r="AG14" i="4"/>
  <c r="AI15" i="4"/>
  <c r="AE15" i="4"/>
  <c r="AC15" i="4" s="1"/>
  <c r="AG15" i="4"/>
  <c r="BW15" i="4"/>
  <c r="BR17" i="4"/>
  <c r="N18" i="14"/>
  <c r="A19" i="14"/>
  <c r="C18" i="14"/>
  <c r="T18" i="14" l="1"/>
  <c r="E38" i="2"/>
  <c r="BS17" i="4"/>
  <c r="BT17" i="4"/>
  <c r="C38" i="2"/>
  <c r="D19" i="4"/>
  <c r="BQ19" i="4"/>
  <c r="BO19" i="4"/>
  <c r="BP19" i="4"/>
  <c r="S19" i="4"/>
  <c r="A40" i="2"/>
  <c r="A20" i="4"/>
  <c r="BU17" i="4"/>
  <c r="C19" i="14"/>
  <c r="N19" i="14"/>
  <c r="A20" i="14"/>
  <c r="Q19" i="14"/>
  <c r="V18" i="4"/>
  <c r="Y18" i="4" s="1"/>
  <c r="AU17" i="4"/>
  <c r="AV17" i="4" s="1"/>
  <c r="D38" i="2"/>
  <c r="BR18" i="4"/>
  <c r="AE16" i="4"/>
  <c r="AC16" i="4" s="1"/>
  <c r="BW16" i="4"/>
  <c r="AI16" i="4"/>
  <c r="AG16" i="4"/>
  <c r="BW17" i="4" l="1"/>
  <c r="AG17" i="4"/>
  <c r="AE17" i="4"/>
  <c r="Q20" i="14"/>
  <c r="V19" i="4"/>
  <c r="Y19" i="4" s="1"/>
  <c r="D40" i="2" s="1"/>
  <c r="AI17" i="4"/>
  <c r="BU18" i="4"/>
  <c r="BT18" i="4"/>
  <c r="C39" i="2"/>
  <c r="D39" i="2"/>
  <c r="F39" i="2"/>
  <c r="BS18" i="4"/>
  <c r="E39" i="2"/>
  <c r="AU18" i="4"/>
  <c r="AV18" i="4" s="1"/>
  <c r="T19" i="14"/>
  <c r="N20" i="14"/>
  <c r="C20" i="14"/>
  <c r="A21" i="14"/>
  <c r="BR19" i="4"/>
  <c r="BQ20" i="4"/>
  <c r="A21" i="4"/>
  <c r="D20" i="4"/>
  <c r="BO20" i="4"/>
  <c r="S20" i="4"/>
  <c r="BP20" i="4"/>
  <c r="A41" i="2"/>
  <c r="AC17" i="4"/>
  <c r="E40" i="2" l="1"/>
  <c r="T20" i="14"/>
  <c r="C40" i="2"/>
  <c r="BU19" i="4"/>
  <c r="C21" i="14"/>
  <c r="A22" i="14"/>
  <c r="N21" i="14"/>
  <c r="AU19" i="4"/>
  <c r="AV19" i="4" s="1"/>
  <c r="BS19" i="4"/>
  <c r="AI19" i="4" s="1"/>
  <c r="V20" i="4"/>
  <c r="Y20" i="4" s="1"/>
  <c r="Q21" i="14"/>
  <c r="T21" i="14" s="1"/>
  <c r="BT19" i="4"/>
  <c r="BR20" i="4"/>
  <c r="F40" i="2"/>
  <c r="A22" i="4"/>
  <c r="BO21" i="4"/>
  <c r="BQ21" i="4"/>
  <c r="D21" i="4"/>
  <c r="BP21" i="4"/>
  <c r="A42" i="2"/>
  <c r="S21" i="4"/>
  <c r="AG18" i="4"/>
  <c r="AI18" i="4"/>
  <c r="BW18" i="4"/>
  <c r="AE18" i="4"/>
  <c r="AC18" i="4" s="1"/>
  <c r="AX18" i="4" s="1"/>
  <c r="AY18" i="4" s="1"/>
  <c r="BW19" i="4" l="1"/>
  <c r="AE19" i="4"/>
  <c r="AC19" i="4" s="1"/>
  <c r="AX19" i="4" s="1"/>
  <c r="AY19" i="4" s="1"/>
  <c r="AG19" i="4"/>
  <c r="BR21" i="4"/>
  <c r="D22" i="4"/>
  <c r="S22" i="4"/>
  <c r="BP22" i="4"/>
  <c r="A23" i="4"/>
  <c r="BQ22" i="4"/>
  <c r="BO22" i="4"/>
  <c r="A43" i="2"/>
  <c r="D41" i="2"/>
  <c r="BT20" i="4"/>
  <c r="BU20" i="4"/>
  <c r="C41" i="2"/>
  <c r="BS20" i="4"/>
  <c r="F41" i="2"/>
  <c r="E41" i="2"/>
  <c r="AU20" i="4"/>
  <c r="AV20" i="4" s="1"/>
  <c r="N22" i="14"/>
  <c r="A23" i="14"/>
  <c r="C22" i="14"/>
  <c r="Q22" i="14"/>
  <c r="V21" i="4"/>
  <c r="Y21" i="4" s="1"/>
  <c r="T22" i="14" l="1"/>
  <c r="BT21" i="4"/>
  <c r="AU21" i="4"/>
  <c r="AV21" i="4" s="1"/>
  <c r="C42" i="2"/>
  <c r="F42" i="2"/>
  <c r="BS21" i="4"/>
  <c r="BU21" i="4"/>
  <c r="D42" i="2"/>
  <c r="E42" i="2"/>
  <c r="AG20" i="4"/>
  <c r="BW20" i="4"/>
  <c r="AE20" i="4"/>
  <c r="AC20" i="4" s="1"/>
  <c r="AX20" i="4" s="1"/>
  <c r="AY20" i="4" s="1"/>
  <c r="AI20" i="4"/>
  <c r="D23" i="4"/>
  <c r="A44" i="2"/>
  <c r="S23" i="4"/>
  <c r="BO23" i="4"/>
  <c r="BQ23" i="4"/>
  <c r="A24" i="4"/>
  <c r="BP23" i="4"/>
  <c r="V22" i="4"/>
  <c r="Y22" i="4" s="1"/>
  <c r="BS22" i="4" s="1"/>
  <c r="Q23" i="14"/>
  <c r="T23" i="14" s="1"/>
  <c r="BR22" i="4"/>
  <c r="C23" i="14"/>
  <c r="A24" i="14"/>
  <c r="N23" i="14"/>
  <c r="E43" i="2"/>
  <c r="C43" i="2"/>
  <c r="D43" i="2" l="1"/>
  <c r="F43" i="2"/>
  <c r="AU22" i="4"/>
  <c r="AV22" i="4" s="1"/>
  <c r="BT22" i="4"/>
  <c r="AI22" i="4" s="1"/>
  <c r="BU22" i="4"/>
  <c r="AE22" i="4" s="1"/>
  <c r="Q24" i="14"/>
  <c r="T24" i="14" s="1"/>
  <c r="V23" i="4"/>
  <c r="Y23" i="4" s="1"/>
  <c r="AG21" i="4"/>
  <c r="AE21" i="4"/>
  <c r="AC21" i="4" s="1"/>
  <c r="AX21" i="4" s="1"/>
  <c r="AY21" i="4" s="1"/>
  <c r="AI21" i="4"/>
  <c r="BW21" i="4"/>
  <c r="BO24" i="4"/>
  <c r="S24" i="4"/>
  <c r="A45" i="2"/>
  <c r="BP24" i="4"/>
  <c r="D24" i="4"/>
  <c r="BQ24" i="4"/>
  <c r="A25" i="4"/>
  <c r="A25" i="14"/>
  <c r="C24" i="14"/>
  <c r="N24" i="14"/>
  <c r="BR23" i="4"/>
  <c r="BW22" i="4"/>
  <c r="AG22" i="4" l="1"/>
  <c r="BR24" i="4"/>
  <c r="A26" i="14"/>
  <c r="N25" i="14"/>
  <c r="C25" i="14"/>
  <c r="A26" i="4"/>
  <c r="BO25" i="4"/>
  <c r="BP25" i="4"/>
  <c r="D25" i="4"/>
  <c r="A46" i="2"/>
  <c r="S25" i="4"/>
  <c r="BQ25" i="4"/>
  <c r="Q25" i="14"/>
  <c r="V24" i="4"/>
  <c r="Y24" i="4" s="1"/>
  <c r="BS23" i="4"/>
  <c r="C44" i="2"/>
  <c r="D44" i="2"/>
  <c r="F44" i="2"/>
  <c r="E44" i="2"/>
  <c r="AU23" i="4"/>
  <c r="AV23" i="4" s="1"/>
  <c r="BT23" i="4"/>
  <c r="BU23" i="4"/>
  <c r="AC22" i="4"/>
  <c r="AX22" i="4" s="1"/>
  <c r="AY22" i="4" s="1"/>
  <c r="BR25" i="4" l="1"/>
  <c r="D45" i="2"/>
  <c r="BS24" i="4"/>
  <c r="C45" i="2"/>
  <c r="E45" i="2"/>
  <c r="F45" i="2"/>
  <c r="BT24" i="4"/>
  <c r="BU24" i="4"/>
  <c r="AU24" i="4"/>
  <c r="AV24" i="4" s="1"/>
  <c r="BO26" i="4"/>
  <c r="BP26" i="4"/>
  <c r="S26" i="4"/>
  <c r="A47" i="2"/>
  <c r="A27" i="4"/>
  <c r="BQ26" i="4"/>
  <c r="D26" i="4"/>
  <c r="AG23" i="4"/>
  <c r="AE23" i="4"/>
  <c r="AC23" i="4" s="1"/>
  <c r="AX23" i="4" s="1"/>
  <c r="AY23" i="4" s="1"/>
  <c r="AI23" i="4"/>
  <c r="BW23" i="4"/>
  <c r="T25" i="14"/>
  <c r="A27" i="14"/>
  <c r="C26" i="14"/>
  <c r="N26" i="14"/>
  <c r="V25" i="4"/>
  <c r="Y25" i="4" s="1"/>
  <c r="Q26" i="14"/>
  <c r="Q27" i="14" l="1"/>
  <c r="V26" i="4"/>
  <c r="Y26" i="4" s="1"/>
  <c r="N27" i="14"/>
  <c r="T27" i="14" s="1"/>
  <c r="C27" i="14"/>
  <c r="A28" i="14"/>
  <c r="BW24" i="4"/>
  <c r="AE24" i="4"/>
  <c r="AC24" i="4" s="1"/>
  <c r="AX24" i="4" s="1"/>
  <c r="AY24" i="4" s="1"/>
  <c r="AG24" i="4"/>
  <c r="AI24" i="4"/>
  <c r="A28" i="4"/>
  <c r="BP27" i="4"/>
  <c r="S27" i="4"/>
  <c r="BQ27" i="4"/>
  <c r="A48" i="2"/>
  <c r="D27" i="4"/>
  <c r="BO27" i="4"/>
  <c r="T26" i="14"/>
  <c r="BR26" i="4"/>
  <c r="D46" i="2"/>
  <c r="BT25" i="4"/>
  <c r="F46" i="2"/>
  <c r="BU25" i="4"/>
  <c r="E46" i="2"/>
  <c r="C46" i="2"/>
  <c r="BS25" i="4"/>
  <c r="AU25" i="4"/>
  <c r="AV25" i="4" s="1"/>
  <c r="F47" i="2" l="1"/>
  <c r="BS26" i="4"/>
  <c r="E47" i="2"/>
  <c r="D47" i="2"/>
  <c r="C47" i="2"/>
  <c r="AU26" i="4"/>
  <c r="AV26" i="4" s="1"/>
  <c r="BT26" i="4"/>
  <c r="Y27" i="4"/>
  <c r="A29" i="14"/>
  <c r="N28" i="14"/>
  <c r="T28" i="14" s="1"/>
  <c r="C28" i="14"/>
  <c r="V27" i="4"/>
  <c r="Q28" i="14"/>
  <c r="BU26" i="4"/>
  <c r="BQ28" i="4"/>
  <c r="D28" i="4"/>
  <c r="BO28" i="4"/>
  <c r="A29" i="4"/>
  <c r="BP28" i="4"/>
  <c r="S28" i="4"/>
  <c r="A49" i="2"/>
  <c r="AI25" i="4"/>
  <c r="AG25" i="4"/>
  <c r="AE25" i="4"/>
  <c r="AC25" i="4" s="1"/>
  <c r="AX25" i="4" s="1"/>
  <c r="AY25" i="4" s="1"/>
  <c r="BW25" i="4"/>
  <c r="BR27" i="4"/>
  <c r="Q29" i="14" l="1"/>
  <c r="V28" i="4"/>
  <c r="Y28" i="4" s="1"/>
  <c r="BW26" i="4"/>
  <c r="AG26" i="4"/>
  <c r="AI26" i="4"/>
  <c r="AE26" i="4"/>
  <c r="AC26" i="4" s="1"/>
  <c r="AX26" i="4" s="1"/>
  <c r="AY26" i="4" s="1"/>
  <c r="D48" i="2"/>
  <c r="E48" i="2"/>
  <c r="C48" i="2"/>
  <c r="F48" i="2"/>
  <c r="AU27" i="4"/>
  <c r="AV27" i="4" s="1"/>
  <c r="BT27" i="4"/>
  <c r="BS27" i="4"/>
  <c r="BU27" i="4"/>
  <c r="S29" i="4"/>
  <c r="A50" i="2"/>
  <c r="BP29" i="4"/>
  <c r="BQ29" i="4"/>
  <c r="A30" i="4"/>
  <c r="BO29" i="4"/>
  <c r="D29" i="4"/>
  <c r="BR28" i="4"/>
  <c r="C29" i="14"/>
  <c r="A30" i="14"/>
  <c r="N29" i="14"/>
  <c r="T29" i="14" s="1"/>
  <c r="BS28" i="4" l="1"/>
  <c r="F49" i="2"/>
  <c r="E49" i="2"/>
  <c r="D49" i="2"/>
  <c r="AU28" i="4"/>
  <c r="AV28" i="4" s="1"/>
  <c r="C49" i="2"/>
  <c r="BT28" i="4"/>
  <c r="Y29" i="4"/>
  <c r="BU28" i="4"/>
  <c r="AI27" i="4"/>
  <c r="AE27" i="4"/>
  <c r="AC27" i="4" s="1"/>
  <c r="AX27" i="4" s="1"/>
  <c r="AY27" i="4" s="1"/>
  <c r="AG27" i="4"/>
  <c r="BW27" i="4"/>
  <c r="BR29" i="4"/>
  <c r="A51" i="2"/>
  <c r="A31" i="4"/>
  <c r="BP30" i="4"/>
  <c r="BQ30" i="4"/>
  <c r="S30" i="4"/>
  <c r="BO30" i="4"/>
  <c r="D30" i="4"/>
  <c r="C30" i="14"/>
  <c r="N30" i="14"/>
  <c r="A31" i="14"/>
  <c r="V29" i="4"/>
  <c r="Q30" i="14"/>
  <c r="C31" i="14" l="1"/>
  <c r="A32" i="14"/>
  <c r="N31" i="14"/>
  <c r="T30" i="14"/>
  <c r="V30" i="4"/>
  <c r="Q31" i="14"/>
  <c r="A32" i="4"/>
  <c r="BO31" i="4"/>
  <c r="S31" i="4"/>
  <c r="D31" i="4"/>
  <c r="BP31" i="4"/>
  <c r="BQ31" i="4"/>
  <c r="A52" i="2"/>
  <c r="BS29" i="4"/>
  <c r="E50" i="2"/>
  <c r="C50" i="2"/>
  <c r="BU29" i="4"/>
  <c r="AU29" i="4"/>
  <c r="AV29" i="4" s="1"/>
  <c r="F50" i="2"/>
  <c r="BT29" i="4"/>
  <c r="D50" i="2"/>
  <c r="BR30" i="4"/>
  <c r="Y30" i="4"/>
  <c r="BW28" i="4"/>
  <c r="AG28" i="4"/>
  <c r="AI28" i="4"/>
  <c r="AE28" i="4"/>
  <c r="AC28" i="4" s="1"/>
  <c r="AX28" i="4" s="1"/>
  <c r="AY28" i="4" s="1"/>
  <c r="V31" i="4" l="1"/>
  <c r="Y31" i="4" s="1"/>
  <c r="Q32" i="14"/>
  <c r="BR31" i="4"/>
  <c r="BT30" i="4"/>
  <c r="C51" i="2"/>
  <c r="D51" i="2"/>
  <c r="F51" i="2"/>
  <c r="E51" i="2"/>
  <c r="BU30" i="4"/>
  <c r="BS30" i="4"/>
  <c r="AU30" i="4"/>
  <c r="AV30" i="4" s="1"/>
  <c r="D32" i="4"/>
  <c r="BQ32" i="4"/>
  <c r="S32" i="4"/>
  <c r="BO32" i="4"/>
  <c r="A53" i="2"/>
  <c r="BP32" i="4"/>
  <c r="A33" i="4"/>
  <c r="BW29" i="4"/>
  <c r="AE29" i="4"/>
  <c r="AC29" i="4" s="1"/>
  <c r="AX29" i="4" s="1"/>
  <c r="AY29" i="4" s="1"/>
  <c r="AI29" i="4"/>
  <c r="AG29" i="4" s="1"/>
  <c r="T31" i="14"/>
  <c r="N32" i="14"/>
  <c r="A33" i="14"/>
  <c r="C32" i="14"/>
  <c r="C33" i="14" l="1"/>
  <c r="A34" i="14"/>
  <c r="N33" i="14"/>
  <c r="V32" i="4"/>
  <c r="Y32" i="4" s="1"/>
  <c r="Q33" i="14"/>
  <c r="BR32" i="4"/>
  <c r="BQ33" i="4"/>
  <c r="BP33" i="4"/>
  <c r="A34" i="4"/>
  <c r="BO33" i="4"/>
  <c r="A54" i="2"/>
  <c r="D33" i="4"/>
  <c r="S33" i="4"/>
  <c r="AE30" i="4"/>
  <c r="AC30" i="4" s="1"/>
  <c r="AX30" i="4" s="1"/>
  <c r="AY30" i="4" s="1"/>
  <c r="BW30" i="4"/>
  <c r="AG30" i="4"/>
  <c r="AI30" i="4"/>
  <c r="T32" i="14"/>
  <c r="BT31" i="4"/>
  <c r="E52" i="2"/>
  <c r="AU31" i="4"/>
  <c r="AV31" i="4" s="1"/>
  <c r="BU31" i="4"/>
  <c r="D52" i="2"/>
  <c r="F52" i="2"/>
  <c r="C52" i="2"/>
  <c r="BS31" i="4"/>
  <c r="T33" i="14" l="1"/>
  <c r="D53" i="2"/>
  <c r="AU32" i="4"/>
  <c r="AV32" i="4" s="1"/>
  <c r="BT32" i="4"/>
  <c r="E53" i="2"/>
  <c r="BS32" i="4"/>
  <c r="BU32" i="4"/>
  <c r="F53" i="2"/>
  <c r="C53" i="2"/>
  <c r="V33" i="4"/>
  <c r="Y33" i="4" s="1"/>
  <c r="Q34" i="14"/>
  <c r="AE31" i="4"/>
  <c r="AC31" i="4" s="1"/>
  <c r="AX31" i="4" s="1"/>
  <c r="AY31" i="4" s="1"/>
  <c r="AI31" i="4"/>
  <c r="AG31" i="4"/>
  <c r="BW31" i="4"/>
  <c r="BR33" i="4"/>
  <c r="A35" i="14"/>
  <c r="C34" i="14"/>
  <c r="N34" i="14"/>
  <c r="T34" i="14" s="1"/>
  <c r="BP34" i="4"/>
  <c r="S34" i="4"/>
  <c r="A35" i="4"/>
  <c r="A55" i="2"/>
  <c r="BO34" i="4"/>
  <c r="BQ34" i="4"/>
  <c r="D34" i="4"/>
  <c r="AO49" i="4"/>
  <c r="AU33" i="4" l="1"/>
  <c r="AV33" i="4" s="1"/>
  <c r="BT33" i="4"/>
  <c r="E54" i="2"/>
  <c r="D54" i="2"/>
  <c r="C54" i="2"/>
  <c r="BU33" i="4"/>
  <c r="F54" i="2"/>
  <c r="BS33" i="4"/>
  <c r="V34" i="4"/>
  <c r="Y34" i="4" s="1"/>
  <c r="E55" i="2" s="1"/>
  <c r="Q35" i="14"/>
  <c r="BP35" i="4"/>
  <c r="S35" i="4"/>
  <c r="A36" i="4"/>
  <c r="A56" i="2"/>
  <c r="BO35" i="4"/>
  <c r="D35" i="4"/>
  <c r="BQ35" i="4"/>
  <c r="AE32" i="4"/>
  <c r="AC32" i="4" s="1"/>
  <c r="AX32" i="4" s="1"/>
  <c r="AY32" i="4" s="1"/>
  <c r="AG32" i="4"/>
  <c r="AI32" i="4"/>
  <c r="BW32" i="4"/>
  <c r="N35" i="14"/>
  <c r="A36" i="14"/>
  <c r="C35" i="14"/>
  <c r="BR34" i="4"/>
  <c r="F55" i="2"/>
  <c r="BS34" i="4"/>
  <c r="AU34" i="4" l="1"/>
  <c r="AV34" i="4" s="1"/>
  <c r="C55" i="2"/>
  <c r="BT34" i="4"/>
  <c r="D55" i="2"/>
  <c r="T35" i="14"/>
  <c r="BU34" i="4"/>
  <c r="AI34" i="4" s="1"/>
  <c r="V35" i="4"/>
  <c r="Y35" i="4" s="1"/>
  <c r="Q36" i="14"/>
  <c r="T36" i="14" s="1"/>
  <c r="BO36" i="4"/>
  <c r="D36" i="4"/>
  <c r="S36" i="4"/>
  <c r="A37" i="4"/>
  <c r="BQ36" i="4"/>
  <c r="BP36" i="4"/>
  <c r="A57" i="2"/>
  <c r="A37" i="14"/>
  <c r="N36" i="14"/>
  <c r="C36" i="14"/>
  <c r="AI33" i="4"/>
  <c r="AG33" i="4"/>
  <c r="BW33" i="4"/>
  <c r="AE33" i="4"/>
  <c r="AC33" i="4" s="1"/>
  <c r="AX33" i="4" s="1"/>
  <c r="AY33" i="4" s="1"/>
  <c r="BR35" i="4"/>
  <c r="BW34" i="4"/>
  <c r="AE34" i="4" l="1"/>
  <c r="AC34" i="4" s="1"/>
  <c r="AX34" i="4" s="1"/>
  <c r="AY34" i="4" s="1"/>
  <c r="AG34" i="4"/>
  <c r="BR36" i="4"/>
  <c r="A58" i="2"/>
  <c r="BP37" i="4"/>
  <c r="D37" i="4"/>
  <c r="A38" i="4"/>
  <c r="BQ37" i="4"/>
  <c r="BO37" i="4"/>
  <c r="S37" i="4"/>
  <c r="C37" i="14"/>
  <c r="A38" i="14"/>
  <c r="N37" i="14"/>
  <c r="V36" i="4"/>
  <c r="Y36" i="4" s="1"/>
  <c r="Q37" i="14"/>
  <c r="BS35" i="4"/>
  <c r="BU35" i="4"/>
  <c r="D56" i="2"/>
  <c r="F56" i="2"/>
  <c r="AU35" i="4"/>
  <c r="AV35" i="4" s="1"/>
  <c r="C56" i="2"/>
  <c r="BT35" i="4"/>
  <c r="E56" i="2"/>
  <c r="F57" i="2" l="1"/>
  <c r="BS36" i="4"/>
  <c r="C57" i="2"/>
  <c r="E57" i="2"/>
  <c r="AU36" i="4"/>
  <c r="AV36" i="4" s="1"/>
  <c r="BT36" i="4"/>
  <c r="BU36" i="4"/>
  <c r="D57" i="2"/>
  <c r="A59" i="2"/>
  <c r="BO38" i="4"/>
  <c r="BQ38" i="4"/>
  <c r="D38" i="4"/>
  <c r="S38" i="4"/>
  <c r="BP38" i="4"/>
  <c r="A39" i="4"/>
  <c r="BR37" i="4"/>
  <c r="AG35" i="4"/>
  <c r="AE35" i="4"/>
  <c r="AC35" i="4" s="1"/>
  <c r="AX35" i="4" s="1"/>
  <c r="AY35" i="4" s="1"/>
  <c r="AI35" i="4"/>
  <c r="BW35" i="4"/>
  <c r="T37" i="14"/>
  <c r="C38" i="14"/>
  <c r="A39" i="14"/>
  <c r="N38" i="14"/>
  <c r="Q38" i="14"/>
  <c r="V37" i="4"/>
  <c r="Y37" i="4" s="1"/>
  <c r="BT37" i="4" l="1"/>
  <c r="BU37" i="4"/>
  <c r="AU37" i="4"/>
  <c r="AV37" i="4" s="1"/>
  <c r="BS37" i="4"/>
  <c r="E58" i="2"/>
  <c r="F58" i="2"/>
  <c r="D58" i="2"/>
  <c r="C58" i="2"/>
  <c r="BR38" i="4"/>
  <c r="AE36" i="4"/>
  <c r="AC36" i="4" s="1"/>
  <c r="AX36" i="4" s="1"/>
  <c r="AY36" i="4" s="1"/>
  <c r="BW36" i="4"/>
  <c r="AI36" i="4"/>
  <c r="AG36" i="4" s="1"/>
  <c r="BQ39" i="4"/>
  <c r="BP39" i="4"/>
  <c r="BO39" i="4"/>
  <c r="A60" i="2"/>
  <c r="A40" i="4"/>
  <c r="D39" i="4"/>
  <c r="S39" i="4"/>
  <c r="T38" i="14"/>
  <c r="N39" i="14"/>
  <c r="C39" i="14"/>
  <c r="A40" i="14"/>
  <c r="V38" i="4"/>
  <c r="Y38" i="4" s="1"/>
  <c r="Q39" i="14"/>
  <c r="AU38" i="4" l="1"/>
  <c r="AV38" i="4" s="1"/>
  <c r="BU38" i="4"/>
  <c r="BT38" i="4"/>
  <c r="BS38" i="4"/>
  <c r="E59" i="2"/>
  <c r="F59" i="2"/>
  <c r="C59" i="2"/>
  <c r="D59" i="2"/>
  <c r="A41" i="14"/>
  <c r="C40" i="14"/>
  <c r="N40" i="14"/>
  <c r="AI37" i="4"/>
  <c r="AE37" i="4"/>
  <c r="AC37" i="4" s="1"/>
  <c r="AX37" i="4" s="1"/>
  <c r="AY37" i="4" s="1"/>
  <c r="AG37" i="4"/>
  <c r="BW37" i="4"/>
  <c r="Q40" i="14"/>
  <c r="V39" i="4"/>
  <c r="Y39" i="4" s="1"/>
  <c r="BR39" i="4"/>
  <c r="T39" i="14"/>
  <c r="S40" i="4"/>
  <c r="BQ40" i="4"/>
  <c r="BP40" i="4"/>
  <c r="A61" i="2"/>
  <c r="D40" i="4"/>
  <c r="BO40" i="4"/>
  <c r="A41" i="4"/>
  <c r="V40" i="4" l="1"/>
  <c r="Y40" i="4" s="1"/>
  <c r="Q41" i="14"/>
  <c r="AE38" i="4"/>
  <c r="BW38" i="4"/>
  <c r="AG38" i="4"/>
  <c r="AI38" i="4"/>
  <c r="AC38" i="4"/>
  <c r="AX38" i="4" s="1"/>
  <c r="AY38" i="4" s="1"/>
  <c r="BQ41" i="4"/>
  <c r="A62" i="2"/>
  <c r="BO41" i="4"/>
  <c r="BP41" i="4"/>
  <c r="A42" i="4"/>
  <c r="D41" i="4"/>
  <c r="S41" i="4"/>
  <c r="BR40" i="4"/>
  <c r="F60" i="2"/>
  <c r="D60" i="2"/>
  <c r="C60" i="2"/>
  <c r="BT39" i="4"/>
  <c r="E60" i="2"/>
  <c r="BU39" i="4"/>
  <c r="AU39" i="4"/>
  <c r="AV39" i="4" s="1"/>
  <c r="BS39" i="4"/>
  <c r="T40" i="14"/>
  <c r="N41" i="14"/>
  <c r="T41" i="14" s="1"/>
  <c r="C41" i="14"/>
  <c r="A42" i="14"/>
  <c r="BS40" i="4" l="1"/>
  <c r="D61" i="2"/>
  <c r="BU40" i="4"/>
  <c r="C61" i="2"/>
  <c r="BT40" i="4"/>
  <c r="E61" i="2"/>
  <c r="F61" i="2"/>
  <c r="AU40" i="4"/>
  <c r="AV40" i="4" s="1"/>
  <c r="Q42" i="14"/>
  <c r="V41" i="4"/>
  <c r="AI39" i="4"/>
  <c r="AE39" i="4"/>
  <c r="AC39" i="4" s="1"/>
  <c r="AX39" i="4" s="1"/>
  <c r="AY39" i="4" s="1"/>
  <c r="AG39" i="4"/>
  <c r="BW39" i="4"/>
  <c r="Y41" i="4"/>
  <c r="D42" i="4"/>
  <c r="BP42" i="4"/>
  <c r="A63" i="2"/>
  <c r="S42" i="4"/>
  <c r="BQ42" i="4"/>
  <c r="BO42" i="4"/>
  <c r="A43" i="4"/>
  <c r="N42" i="14"/>
  <c r="T42" i="14" s="1"/>
  <c r="C42" i="14"/>
  <c r="A43" i="14"/>
  <c r="BR41" i="4"/>
  <c r="D43" i="4" l="1"/>
  <c r="BO43" i="4"/>
  <c r="S43" i="4"/>
  <c r="A64" i="2"/>
  <c r="BP43" i="4"/>
  <c r="BQ43" i="4"/>
  <c r="BR42" i="4"/>
  <c r="Y42" i="4"/>
  <c r="AU41" i="4"/>
  <c r="AV41" i="4" s="1"/>
  <c r="C62" i="2"/>
  <c r="BT41" i="4"/>
  <c r="BS41" i="4"/>
  <c r="D62" i="2"/>
  <c r="E62" i="2"/>
  <c r="F62" i="2"/>
  <c r="BU41" i="4"/>
  <c r="Q43" i="14"/>
  <c r="V42" i="4"/>
  <c r="A44" i="14"/>
  <c r="C43" i="14"/>
  <c r="N43" i="14"/>
  <c r="T43" i="14" s="1"/>
  <c r="AE40" i="4"/>
  <c r="AC40" i="4" s="1"/>
  <c r="AX40" i="4" s="1"/>
  <c r="AY40" i="4" s="1"/>
  <c r="AI40" i="4"/>
  <c r="AG40" i="4"/>
  <c r="BW40" i="4"/>
  <c r="AI41" i="4" l="1"/>
  <c r="BW41" i="4"/>
  <c r="AE41" i="4"/>
  <c r="AC41" i="4" s="1"/>
  <c r="AX41" i="4" s="1"/>
  <c r="AY41" i="4" s="1"/>
  <c r="AG41" i="4"/>
  <c r="N44" i="14"/>
  <c r="C44" i="14"/>
  <c r="BR43" i="4"/>
  <c r="C63" i="2"/>
  <c r="AU42" i="4"/>
  <c r="AV42" i="4" s="1"/>
  <c r="BT42" i="4"/>
  <c r="E63" i="2"/>
  <c r="BS42" i="4"/>
  <c r="BU42" i="4"/>
  <c r="F63" i="2"/>
  <c r="D63" i="2"/>
  <c r="Q44" i="14"/>
  <c r="V43" i="4"/>
  <c r="D49" i="4"/>
  <c r="T44" i="14" l="1"/>
  <c r="AA8" i="14" s="1"/>
  <c r="AF8" i="14" s="1"/>
  <c r="I8" i="14"/>
  <c r="BW42" i="4"/>
  <c r="AI42" i="4"/>
  <c r="AE42" i="4"/>
  <c r="AC42" i="4" s="1"/>
  <c r="AX42" i="4" s="1"/>
  <c r="AY42" i="4" s="1"/>
  <c r="AG42" i="4"/>
  <c r="Y43" i="4"/>
  <c r="A46" i="4"/>
  <c r="D64" i="2" l="1"/>
  <c r="BU43" i="4"/>
  <c r="L46" i="4"/>
  <c r="P46" i="4" s="1"/>
  <c r="AU43" i="4"/>
  <c r="AV43" i="4" s="1"/>
  <c r="A71" i="2"/>
  <c r="BS43" i="4"/>
  <c r="A72" i="2"/>
  <c r="F64" i="2"/>
  <c r="C64" i="2"/>
  <c r="BT43" i="4"/>
  <c r="B71" i="2"/>
  <c r="E64" i="2"/>
  <c r="AI43" i="4" l="1"/>
  <c r="AM46" i="4" s="1"/>
  <c r="AG43" i="4"/>
  <c r="AG46" i="4" s="1"/>
  <c r="M49" i="4"/>
  <c r="J49" i="4"/>
  <c r="AE43" i="4"/>
  <c r="Y46" i="4" s="1"/>
  <c r="BW43" i="4"/>
  <c r="T49" i="4" l="1"/>
  <c r="Q49" i="4"/>
  <c r="AC43" i="4"/>
  <c r="AX43" i="4" s="1"/>
  <c r="AY43" i="4" s="1"/>
</calcChain>
</file>

<file path=xl/sharedStrings.xml><?xml version="1.0" encoding="utf-8"?>
<sst xmlns="http://schemas.openxmlformats.org/spreadsheetml/2006/main" count="309" uniqueCount="190">
  <si>
    <t>有給休暇</t>
  </si>
  <si>
    <t>日</t>
  </si>
  <si>
    <t>曜日</t>
  </si>
  <si>
    <t>入　力</t>
  </si>
  <si>
    <t>労　働　時　間</t>
  </si>
  <si>
    <t>元旦</t>
  </si>
  <si>
    <t>成人の日</t>
  </si>
  <si>
    <t>建国記念の日</t>
  </si>
  <si>
    <t>春分の日</t>
  </si>
  <si>
    <t>みどりの日</t>
  </si>
  <si>
    <t>憲法記念日</t>
  </si>
  <si>
    <t>こどもの日</t>
  </si>
  <si>
    <t>海の日</t>
  </si>
  <si>
    <t>敬老の日</t>
  </si>
  <si>
    <t>秋分の日</t>
  </si>
  <si>
    <t>体育の日</t>
  </si>
  <si>
    <t>文化の日</t>
  </si>
  <si>
    <t>勤労感謝の日</t>
  </si>
  <si>
    <t>天皇誕生日</t>
  </si>
  <si>
    <t>国民の休日</t>
  </si>
  <si>
    <t>出勤日</t>
  </si>
  <si>
    <t>時</t>
  </si>
  <si>
    <t>分</t>
  </si>
  <si>
    <t>欠勤</t>
    <phoneticPr fontId="6"/>
  </si>
  <si>
    <t>有給休暇</t>
    <phoneticPr fontId="8"/>
  </si>
  <si>
    <t>No</t>
    <phoneticPr fontId="8"/>
  </si>
  <si>
    <t/>
  </si>
  <si>
    <t>有給休暇</t>
    <phoneticPr fontId="6"/>
  </si>
  <si>
    <t>勤　務　表</t>
    <rPh sb="0" eb="1">
      <t>キン</t>
    </rPh>
    <rPh sb="2" eb="3">
      <t>ム</t>
    </rPh>
    <rPh sb="4" eb="5">
      <t>ヒョウ</t>
    </rPh>
    <phoneticPr fontId="6"/>
  </si>
  <si>
    <t>区分</t>
  </si>
  <si>
    <t>現場指定休暇</t>
    <rPh sb="0" eb="2">
      <t>ゲンバ</t>
    </rPh>
    <rPh sb="2" eb="4">
      <t>シテイ</t>
    </rPh>
    <rPh sb="4" eb="6">
      <t>キュウカ</t>
    </rPh>
    <phoneticPr fontId="6"/>
  </si>
  <si>
    <t>区分</t>
    <phoneticPr fontId="6"/>
  </si>
  <si>
    <t>振替休暇</t>
    <rPh sb="0" eb="2">
      <t>フリカ</t>
    </rPh>
    <rPh sb="2" eb="4">
      <t>キュウカ</t>
    </rPh>
    <phoneticPr fontId="6"/>
  </si>
  <si>
    <t>振替休暇0.5</t>
    <rPh sb="0" eb="2">
      <t>フリカ</t>
    </rPh>
    <rPh sb="2" eb="4">
      <t>キュウカ</t>
    </rPh>
    <phoneticPr fontId="6"/>
  </si>
  <si>
    <t>SE</t>
    <phoneticPr fontId="6"/>
  </si>
  <si>
    <t>PL</t>
    <phoneticPr fontId="6"/>
  </si>
  <si>
    <t>PM</t>
    <phoneticPr fontId="6"/>
  </si>
  <si>
    <t>PG</t>
    <phoneticPr fontId="6"/>
  </si>
  <si>
    <t>単位</t>
    <rPh sb="0" eb="2">
      <t>タンイ</t>
    </rPh>
    <phoneticPr fontId="6"/>
  </si>
  <si>
    <t>開発1部</t>
    <rPh sb="0" eb="2">
      <t>カイハツ</t>
    </rPh>
    <rPh sb="3" eb="4">
      <t>ブ</t>
    </rPh>
    <phoneticPr fontId="6"/>
  </si>
  <si>
    <t>開発2部</t>
    <rPh sb="0" eb="2">
      <t>カイハツ</t>
    </rPh>
    <rPh sb="3" eb="4">
      <t>ブ</t>
    </rPh>
    <phoneticPr fontId="6"/>
  </si>
  <si>
    <t>開発3部</t>
    <rPh sb="0" eb="2">
      <t>カイハツ</t>
    </rPh>
    <rPh sb="3" eb="4">
      <t>ブ</t>
    </rPh>
    <phoneticPr fontId="6"/>
  </si>
  <si>
    <t>新技術推進部</t>
    <rPh sb="0" eb="3">
      <t>シンギジュツ</t>
    </rPh>
    <rPh sb="3" eb="6">
      <t>スイシンブ</t>
    </rPh>
    <phoneticPr fontId="6"/>
  </si>
  <si>
    <t>システム基盤構築部</t>
    <rPh sb="4" eb="6">
      <t>キバン</t>
    </rPh>
    <rPh sb="6" eb="8">
      <t>コウチク</t>
    </rPh>
    <rPh sb="8" eb="9">
      <t>ブ</t>
    </rPh>
    <phoneticPr fontId="6"/>
  </si>
  <si>
    <t>営業部</t>
    <rPh sb="0" eb="2">
      <t>エイギョウ</t>
    </rPh>
    <rPh sb="2" eb="3">
      <t>ブ</t>
    </rPh>
    <phoneticPr fontId="6"/>
  </si>
  <si>
    <t>総務部</t>
    <rPh sb="0" eb="2">
      <t>ソウム</t>
    </rPh>
    <rPh sb="2" eb="3">
      <t>ブ</t>
    </rPh>
    <phoneticPr fontId="6"/>
  </si>
  <si>
    <t>役職</t>
  </si>
  <si>
    <t>部門</t>
  </si>
  <si>
    <t>実時</t>
  </si>
  <si>
    <t>実分</t>
  </si>
  <si>
    <t>所定時間</t>
    <rPh sb="0" eb="2">
      <t>ショテイ</t>
    </rPh>
    <phoneticPr fontId="8"/>
  </si>
  <si>
    <t>休日出勤</t>
    <rPh sb="0" eb="2">
      <t>キュウジツ</t>
    </rPh>
    <rPh sb="2" eb="4">
      <t>シュッキン</t>
    </rPh>
    <phoneticPr fontId="6"/>
  </si>
  <si>
    <t>出社</t>
    <phoneticPr fontId="6"/>
  </si>
  <si>
    <t>退社</t>
    <phoneticPr fontId="6"/>
  </si>
  <si>
    <t>時間</t>
    <phoneticPr fontId="6"/>
  </si>
  <si>
    <t>部長兼SM</t>
    <rPh sb="0" eb="2">
      <t>ブチョウ</t>
    </rPh>
    <rPh sb="2" eb="3">
      <t>ケン</t>
    </rPh>
    <phoneticPr fontId="6"/>
  </si>
  <si>
    <t>有給休暇(前半休)</t>
    <rPh sb="5" eb="7">
      <t>ゼンハン</t>
    </rPh>
    <rPh sb="7" eb="8">
      <t>キュウ</t>
    </rPh>
    <phoneticPr fontId="6"/>
  </si>
  <si>
    <t>有給休暇(後半休）</t>
    <rPh sb="5" eb="6">
      <t>ゴ</t>
    </rPh>
    <rPh sb="6" eb="8">
      <t>ハンキュウ</t>
    </rPh>
    <phoneticPr fontId="6"/>
  </si>
  <si>
    <t>月分</t>
    <rPh sb="1" eb="2">
      <t>ブン</t>
    </rPh>
    <phoneticPr fontId="8"/>
  </si>
  <si>
    <t>備考</t>
  </si>
  <si>
    <t>出勤</t>
    <rPh sb="1" eb="2">
      <t>キン</t>
    </rPh>
    <phoneticPr fontId="8"/>
  </si>
  <si>
    <t>退勤</t>
    <rPh sb="1" eb="2">
      <t>キン</t>
    </rPh>
    <phoneticPr fontId="8"/>
  </si>
  <si>
    <t>(現場指定休)帰社作業</t>
    <rPh sb="7" eb="9">
      <t>キシャ</t>
    </rPh>
    <rPh sb="9" eb="11">
      <t>サギョウ</t>
    </rPh>
    <phoneticPr fontId="8"/>
  </si>
  <si>
    <t>(現場指定休)有給休暇</t>
    <rPh sb="7" eb="9">
      <t>ユウキュウ</t>
    </rPh>
    <rPh sb="9" eb="11">
      <t>キュウカ</t>
    </rPh>
    <phoneticPr fontId="8"/>
  </si>
  <si>
    <t>月間所定労働時間</t>
    <rPh sb="0" eb="1">
      <t>ツキ</t>
    </rPh>
    <rPh sb="1" eb="2">
      <t>カン</t>
    </rPh>
    <rPh sb="2" eb="4">
      <t>ショテイ</t>
    </rPh>
    <phoneticPr fontId="6"/>
  </si>
  <si>
    <t>月間実働時間</t>
    <rPh sb="1" eb="2">
      <t>カン</t>
    </rPh>
    <phoneticPr fontId="8"/>
  </si>
  <si>
    <t>特別休暇</t>
    <rPh sb="0" eb="2">
      <t>トクベツ</t>
    </rPh>
    <rPh sb="2" eb="4">
      <t>キュウカ</t>
    </rPh>
    <phoneticPr fontId="6"/>
  </si>
  <si>
    <t>欠勤</t>
  </si>
  <si>
    <t>区分値</t>
    <rPh sb="0" eb="2">
      <t>クブン</t>
    </rPh>
    <rPh sb="2" eb="3">
      <t>チ</t>
    </rPh>
    <phoneticPr fontId="6"/>
  </si>
  <si>
    <t>労働区分</t>
    <rPh sb="2" eb="4">
      <t>クブン</t>
    </rPh>
    <phoneticPr fontId="6"/>
  </si>
  <si>
    <t>固定</t>
    <rPh sb="0" eb="2">
      <t>コテイ</t>
    </rPh>
    <phoneticPr fontId="6"/>
  </si>
  <si>
    <t>非固定</t>
    <rPh sb="0" eb="1">
      <t>ヒ</t>
    </rPh>
    <rPh sb="1" eb="3">
      <t>コテイ</t>
    </rPh>
    <phoneticPr fontId="6"/>
  </si>
  <si>
    <t>日間所定労働時間</t>
    <phoneticPr fontId="6"/>
  </si>
  <si>
    <t>有給休暇</t>
    <phoneticPr fontId="6"/>
  </si>
  <si>
    <t>欠勤</t>
    <rPh sb="0" eb="2">
      <t>ケッキン</t>
    </rPh>
    <phoneticPr fontId="8"/>
  </si>
  <si>
    <t>時間計算単位</t>
    <rPh sb="0" eb="2">
      <t>ジカン</t>
    </rPh>
    <rPh sb="2" eb="4">
      <t>ケイサン</t>
    </rPh>
    <rPh sb="4" eb="6">
      <t>タンイ</t>
    </rPh>
    <phoneticPr fontId="6"/>
  </si>
  <si>
    <t>始業時間</t>
    <rPh sb="0" eb="2">
      <t>シギョウ</t>
    </rPh>
    <rPh sb="2" eb="4">
      <t>ジカン</t>
    </rPh>
    <phoneticPr fontId="6"/>
  </si>
  <si>
    <t>分</t>
    <phoneticPr fontId="6"/>
  </si>
  <si>
    <t>〜</t>
    <phoneticPr fontId="6"/>
  </si>
  <si>
    <t>休憩時間帯１</t>
    <rPh sb="0" eb="2">
      <t>キュウケイ</t>
    </rPh>
    <rPh sb="2" eb="5">
      <t>ジカンタイ</t>
    </rPh>
    <phoneticPr fontId="6"/>
  </si>
  <si>
    <t>休憩時間帯２</t>
    <rPh sb="0" eb="2">
      <t>キュウケイ</t>
    </rPh>
    <rPh sb="2" eb="5">
      <t>ジカンタイ</t>
    </rPh>
    <phoneticPr fontId="6"/>
  </si>
  <si>
    <t>休憩時間帯３</t>
    <rPh sb="0" eb="2">
      <t>キュウケイ</t>
    </rPh>
    <rPh sb="2" eb="4">
      <t>ジカン</t>
    </rPh>
    <rPh sb="4" eb="5">
      <t>タイ</t>
    </rPh>
    <phoneticPr fontId="6"/>
  </si>
  <si>
    <t>(現場指定休)記念日・年末年始等</t>
    <rPh sb="1" eb="3">
      <t>ゲンバ</t>
    </rPh>
    <rPh sb="3" eb="5">
      <t>シテイ</t>
    </rPh>
    <rPh sb="5" eb="6">
      <t>キュウ</t>
    </rPh>
    <rPh sb="11" eb="13">
      <t>ネンマツ</t>
    </rPh>
    <rPh sb="13" eb="15">
      <t>ネンシ</t>
    </rPh>
    <rPh sb="15" eb="16">
      <t>ナド</t>
    </rPh>
    <phoneticPr fontId="6"/>
  </si>
  <si>
    <t>有給休暇</t>
    <phoneticPr fontId="8"/>
  </si>
  <si>
    <t>休憩時間帯４</t>
    <rPh sb="0" eb="2">
      <t>キュウケイ</t>
    </rPh>
    <rPh sb="2" eb="4">
      <t>ジカン</t>
    </rPh>
    <rPh sb="4" eb="5">
      <t>タイ</t>
    </rPh>
    <phoneticPr fontId="6"/>
  </si>
  <si>
    <t>休憩時間帯５</t>
    <rPh sb="0" eb="2">
      <t>キュウケイ</t>
    </rPh>
    <rPh sb="2" eb="4">
      <t>ジカン</t>
    </rPh>
    <rPh sb="4" eb="5">
      <t>タイ</t>
    </rPh>
    <phoneticPr fontId="6"/>
  </si>
  <si>
    <t>所定日数</t>
    <phoneticPr fontId="12"/>
  </si>
  <si>
    <t>作業者用</t>
    <phoneticPr fontId="12"/>
  </si>
  <si>
    <t>出勤</t>
  </si>
  <si>
    <t>出勤</t>
    <phoneticPr fontId="6"/>
  </si>
  <si>
    <t>休日出勤（振)</t>
    <phoneticPr fontId="6"/>
  </si>
  <si>
    <t>有休１日</t>
  </si>
  <si>
    <t>有休半日</t>
  </si>
  <si>
    <t>振替休日</t>
  </si>
  <si>
    <t>振替半日</t>
  </si>
  <si>
    <t>休職</t>
  </si>
  <si>
    <t>慶弔休暇</t>
  </si>
  <si>
    <t>出勤区分：</t>
    <rPh sb="0" eb="2">
      <t>シュッキン</t>
    </rPh>
    <rPh sb="2" eb="4">
      <t>クブン</t>
    </rPh>
    <phoneticPr fontId="8"/>
  </si>
  <si>
    <t>Ｎｏ</t>
    <phoneticPr fontId="12"/>
  </si>
  <si>
    <t>項目</t>
    <rPh sb="0" eb="2">
      <t>コウモク</t>
    </rPh>
    <phoneticPr fontId="12"/>
  </si>
  <si>
    <t>1</t>
    <phoneticPr fontId="12"/>
  </si>
  <si>
    <t>2</t>
  </si>
  <si>
    <t>3</t>
  </si>
  <si>
    <t>休日出勤</t>
  </si>
  <si>
    <t>4</t>
  </si>
  <si>
    <t>休日出勤（振）</t>
  </si>
  <si>
    <t>5</t>
  </si>
  <si>
    <t>6</t>
  </si>
  <si>
    <t>8</t>
  </si>
  <si>
    <t>9</t>
  </si>
  <si>
    <t>10</t>
  </si>
  <si>
    <t>11</t>
  </si>
  <si>
    <t>12</t>
  </si>
  <si>
    <t>13</t>
  </si>
  <si>
    <t>実作業日数</t>
    <rPh sb="1" eb="3">
      <t>サギョウ</t>
    </rPh>
    <rPh sb="3" eb="4">
      <t>ビ</t>
    </rPh>
    <rPh sb="4" eb="5">
      <t>スウ</t>
    </rPh>
    <phoneticPr fontId="12"/>
  </si>
  <si>
    <t>実勤務時間</t>
    <rPh sb="1" eb="3">
      <t>キンム</t>
    </rPh>
    <phoneticPr fontId="12"/>
  </si>
  <si>
    <t>みなし</t>
    <phoneticPr fontId="6"/>
  </si>
  <si>
    <t>H</t>
    <phoneticPr fontId="6"/>
  </si>
  <si>
    <t>深夜残業：</t>
    <phoneticPr fontId="8"/>
  </si>
  <si>
    <t>IS 日曜日</t>
    <phoneticPr fontId="6"/>
  </si>
  <si>
    <t>IS　祝日</t>
    <phoneticPr fontId="6"/>
  </si>
  <si>
    <t>社員番号</t>
    <phoneticPr fontId="6"/>
  </si>
  <si>
    <t>普残</t>
    <rPh sb="0" eb="1">
      <t>ススム</t>
    </rPh>
    <rPh sb="1" eb="2">
      <t>ザン</t>
    </rPh>
    <phoneticPr fontId="6"/>
  </si>
  <si>
    <t>休出</t>
    <rPh sb="0" eb="2">
      <t>キュウシュツ</t>
    </rPh>
    <phoneticPr fontId="6"/>
  </si>
  <si>
    <t>休深</t>
    <rPh sb="0" eb="1">
      <t>キュウ</t>
    </rPh>
    <rPh sb="1" eb="2">
      <t>フカ</t>
    </rPh>
    <phoneticPr fontId="6"/>
  </si>
  <si>
    <t>普通残業時間</t>
    <rPh sb="0" eb="2">
      <t>フツウ</t>
    </rPh>
    <rPh sb="2" eb="4">
      <t>ザンギョウ</t>
    </rPh>
    <phoneticPr fontId="12"/>
  </si>
  <si>
    <t>年</t>
    <phoneticPr fontId="12"/>
  </si>
  <si>
    <t>入社日</t>
    <phoneticPr fontId="6"/>
  </si>
  <si>
    <t>合計</t>
    <phoneticPr fontId="12"/>
  </si>
  <si>
    <t>役職</t>
    <phoneticPr fontId="6"/>
  </si>
  <si>
    <t>所属</t>
    <phoneticPr fontId="6"/>
  </si>
  <si>
    <t>年</t>
    <phoneticPr fontId="12"/>
  </si>
  <si>
    <t>勤続</t>
    <phoneticPr fontId="6"/>
  </si>
  <si>
    <t>休憩</t>
    <phoneticPr fontId="12"/>
  </si>
  <si>
    <t>氏名</t>
    <phoneticPr fontId="6"/>
  </si>
  <si>
    <t>基準時間外</t>
    <phoneticPr fontId="6"/>
  </si>
  <si>
    <t>深夜</t>
    <phoneticPr fontId="6"/>
  </si>
  <si>
    <t>出勤区分</t>
    <phoneticPr fontId="8"/>
  </si>
  <si>
    <t>備考</t>
    <phoneticPr fontId="6"/>
  </si>
  <si>
    <t>日間所定労働時間</t>
    <phoneticPr fontId="6"/>
  </si>
  <si>
    <t>is 土曜日</t>
    <phoneticPr fontId="6"/>
  </si>
  <si>
    <t>土曜日出勤</t>
    <phoneticPr fontId="12"/>
  </si>
  <si>
    <t>日曜日出勤</t>
    <phoneticPr fontId="12"/>
  </si>
  <si>
    <t>祝日出勤</t>
    <phoneticPr fontId="12"/>
  </si>
  <si>
    <t>休出</t>
    <phoneticPr fontId="12"/>
  </si>
  <si>
    <t>深夜残業時間</t>
    <phoneticPr fontId="12"/>
  </si>
  <si>
    <t>休深</t>
    <phoneticPr fontId="12"/>
  </si>
  <si>
    <t>黄色部分を記入してください。</t>
    <rPh sb="0" eb="2">
      <t>キイロ</t>
    </rPh>
    <rPh sb="2" eb="4">
      <t>ブブン</t>
    </rPh>
    <rPh sb="5" eb="7">
      <t>キニュウ</t>
    </rPh>
    <phoneticPr fontId="6"/>
  </si>
  <si>
    <t>年</t>
  </si>
  <si>
    <t>氏  名</t>
    <phoneticPr fontId="8"/>
  </si>
  <si>
    <t>本月所定労働時間</t>
    <rPh sb="0" eb="2">
      <t>ホンゲツ</t>
    </rPh>
    <rPh sb="2" eb="4">
      <t>ショテイ</t>
    </rPh>
    <phoneticPr fontId="6"/>
  </si>
  <si>
    <t>月間所定労働日数</t>
    <phoneticPr fontId="8"/>
  </si>
  <si>
    <t>出勤日数</t>
    <phoneticPr fontId="6"/>
  </si>
  <si>
    <t>〜</t>
    <phoneticPr fontId="8"/>
  </si>
  <si>
    <t>H</t>
    <phoneticPr fontId="8"/>
  </si>
  <si>
    <t>日間所定労働時間</t>
    <phoneticPr fontId="6"/>
  </si>
  <si>
    <t>備　考</t>
    <rPh sb="0" eb="1">
      <t>ビン</t>
    </rPh>
    <rPh sb="2" eb="3">
      <t>コウ</t>
    </rPh>
    <phoneticPr fontId="6"/>
  </si>
  <si>
    <t>休憩</t>
  </si>
  <si>
    <t>合計</t>
  </si>
  <si>
    <t>分</t>
    <phoneticPr fontId="6"/>
  </si>
  <si>
    <t>〜</t>
    <phoneticPr fontId="6"/>
  </si>
  <si>
    <t>現場指定休暇日数</t>
    <phoneticPr fontId="6"/>
  </si>
  <si>
    <t>本社出勤日数</t>
    <phoneticPr fontId="6"/>
  </si>
  <si>
    <t>振替休暇日数</t>
    <rPh sb="0" eb="2">
      <t>フリカエ</t>
    </rPh>
    <rPh sb="2" eb="4">
      <t>キュウカ</t>
    </rPh>
    <phoneticPr fontId="6"/>
  </si>
  <si>
    <t>休日出勤日数</t>
    <rPh sb="0" eb="2">
      <t>キュウジツ</t>
    </rPh>
    <rPh sb="2" eb="4">
      <t>シュッキン</t>
    </rPh>
    <phoneticPr fontId="6"/>
  </si>
  <si>
    <t>有給休暇日数</t>
    <phoneticPr fontId="6"/>
  </si>
  <si>
    <t>単位</t>
  </si>
  <si>
    <t>(現場指定休)帰社作業</t>
  </si>
  <si>
    <t>現場指定休暇</t>
  </si>
  <si>
    <t>(現場指定休)有給休暇</t>
  </si>
  <si>
    <t>振替休暇0.5</t>
  </si>
  <si>
    <t>業務推進部</t>
    <rPh sb="0" eb="2">
      <t>ギョウム</t>
    </rPh>
    <rPh sb="2" eb="4">
      <t>スイシン</t>
    </rPh>
    <rPh sb="4" eb="5">
      <t>ブ</t>
    </rPh>
    <phoneticPr fontId="6"/>
  </si>
  <si>
    <t>沖縄事務所</t>
    <rPh sb="0" eb="2">
      <t>オキナワ</t>
    </rPh>
    <rPh sb="2" eb="4">
      <t>ジム</t>
    </rPh>
    <rPh sb="4" eb="5">
      <t>ショ</t>
    </rPh>
    <phoneticPr fontId="6"/>
  </si>
  <si>
    <t>慶弔休暇</t>
    <phoneticPr fontId="12"/>
  </si>
  <si>
    <t>有休１日</t>
    <phoneticPr fontId="6"/>
  </si>
  <si>
    <t>有休半日</t>
    <phoneticPr fontId="12"/>
  </si>
  <si>
    <t>振替休日</t>
    <phoneticPr fontId="12"/>
  </si>
  <si>
    <t>振替半日</t>
    <phoneticPr fontId="6"/>
  </si>
  <si>
    <t>休職</t>
    <phoneticPr fontId="6"/>
  </si>
  <si>
    <t>遅刻</t>
    <phoneticPr fontId="6"/>
  </si>
  <si>
    <t>遅刻</t>
    <phoneticPr fontId="6"/>
  </si>
  <si>
    <t>日・祝日出勤</t>
    <rPh sb="0" eb="1">
      <t>ヒ</t>
    </rPh>
    <rPh sb="2" eb="4">
      <t>シュクジツ</t>
    </rPh>
    <rPh sb="4" eb="6">
      <t>シュッキン</t>
    </rPh>
    <phoneticPr fontId="12"/>
  </si>
  <si>
    <t>土曜出勤</t>
    <phoneticPr fontId="12"/>
  </si>
  <si>
    <t>総務</t>
    <phoneticPr fontId="12"/>
  </si>
  <si>
    <t>上長</t>
    <phoneticPr fontId="12"/>
  </si>
  <si>
    <t>総務部長</t>
    <phoneticPr fontId="12"/>
  </si>
  <si>
    <t>PG</t>
  </si>
  <si>
    <t>祝日</t>
    <rPh sb="0" eb="2">
      <t>シュクジツ</t>
    </rPh>
    <phoneticPr fontId="12"/>
  </si>
  <si>
    <t>王少宇</t>
    <rPh sb="0" eb="1">
      <t>オウ</t>
    </rPh>
    <rPh sb="1" eb="2">
      <t>ショウ</t>
    </rPh>
    <rPh sb="2" eb="3">
      <t>サカイ</t>
    </rPh>
    <phoneticPr fontId="12"/>
  </si>
  <si>
    <t>遅刻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</si>
</sst>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176" formatCode="h:mm;@"/>
    <numFmt numFmtId="177" formatCode="[h]:mm"/>
    <numFmt numFmtId="178" formatCode="d"/>
    <numFmt numFmtId="179" formatCode="aaa"/>
    <numFmt numFmtId="180" formatCode="0_ "/>
    <numFmt numFmtId="181" formatCode="0.0_ "/>
    <numFmt numFmtId="182" formatCode="0.00_ "/>
    <numFmt numFmtId="183" formatCode="#\ ?/8"/>
    <numFmt numFmtId="184" formatCode="yyyy&quot;年&quot;m&quot;月&quot;d&quot;日&quot;;@"/>
    <numFmt numFmtId="185" formatCode="[$-F400]h:mm:ss\ AM/PM"/>
    <numFmt numFmtId="186" formatCode="m"/>
    <numFmt numFmtId="187" formatCode="0_);[Red]\(0\)"/>
    <numFmt numFmtId="188" formatCode="0.00_);[Red]\(0.00\)"/>
    <numFmt numFmtId="189" formatCode="0.00_ ;[Red]\-0.00\ "/>
    <numFmt numFmtId="190" formatCode="\(0.00&quot;H&quot;\);\(0.00\)"/>
    <numFmt numFmtId="191" formatCode="General&quot;H&quot;"/>
    <numFmt numFmtId="192" formatCode="yyyy/m/d;@"/>
  </numFmts>
  <fonts count="35">
    <font>
      <sz val="12"/>
      <name val="宋体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6"/>
      <name val="宋体"/>
    </font>
    <font>
      <sz val="12"/>
      <name val="宋体"/>
    </font>
    <font>
      <sz val="6"/>
      <name val="ＭＳ Ｐゴシック"/>
      <family val="3"/>
      <charset val="128"/>
    </font>
    <font>
      <sz val="10"/>
      <name val="宋体"/>
    </font>
    <font>
      <sz val="12"/>
      <name val="宋体"/>
    </font>
    <font>
      <sz val="8"/>
      <name val="ＭＳ Ｐゴシック"/>
      <family val="3"/>
      <charset val="128"/>
    </font>
    <font>
      <sz val="18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color indexed="16"/>
      <name val="ＭＳ Ｐゴシック"/>
      <family val="3"/>
      <charset val="128"/>
    </font>
    <font>
      <sz val="12"/>
      <color indexed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2"/>
      <name val="宋体"/>
    </font>
    <font>
      <sz val="11"/>
      <name val="宋体"/>
    </font>
    <font>
      <b/>
      <sz val="10"/>
      <color rgb="FFFF0000"/>
      <name val="ＭＳ Ｐゴシック"/>
      <family val="3"/>
      <charset val="128"/>
    </font>
    <font>
      <b/>
      <sz val="10"/>
      <color rgb="FF000000"/>
      <name val="ＭＳ Ｐゴシック"/>
      <family val="3"/>
      <charset val="128"/>
    </font>
    <font>
      <b/>
      <sz val="10"/>
      <color theme="0"/>
      <name val="ＭＳ Ｐゴシック"/>
      <family val="3"/>
      <charset val="128"/>
    </font>
    <font>
      <sz val="11"/>
      <color theme="0" tint="-0.14999847407452621"/>
      <name val="ＭＳ Ｐゴシック"/>
      <family val="3"/>
      <charset val="128"/>
    </font>
    <font>
      <sz val="8"/>
      <color theme="0" tint="-0.14999847407452621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  <scheme val="minor"/>
    </font>
    <font>
      <b/>
      <sz val="12"/>
      <name val="ＭＳ Ｐゴシック"/>
      <family val="3"/>
      <charset val="128"/>
      <scheme val="minor"/>
    </font>
    <font>
      <b/>
      <sz val="12"/>
      <color indexed="1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12"/>
      <color theme="0" tint="-0.14999847407452621"/>
      <name val="ＭＳ Ｐゴシック"/>
      <family val="3"/>
      <charset val="128"/>
    </font>
    <font>
      <sz val="12"/>
      <color theme="0" tint="-0.14999847407452621"/>
      <name val="ＭＳ Ｐゴシック"/>
      <family val="3"/>
      <charset val="128"/>
    </font>
    <font>
      <b/>
      <sz val="12"/>
      <color rgb="FF800000"/>
      <name val="ＭＳ Ｐゴシック"/>
      <family val="3"/>
      <charset val="128"/>
    </font>
    <font>
      <b/>
      <sz val="12"/>
      <color rgb="FFFF0000"/>
      <name val="ＭＳ ゴシック"/>
      <family val="3"/>
      <charset val="128"/>
    </font>
    <font>
      <sz val="9"/>
      <color rgb="FF000000"/>
      <name val="MS UI Gothic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458">
    <xf numFmtId="0" fontId="0" fillId="0" borderId="0" xfId="0">
      <alignment vertical="center"/>
    </xf>
    <xf numFmtId="0" fontId="2" fillId="0" borderId="0" xfId="1" applyFont="1" applyFill="1" applyAlignment="1" applyProtection="1">
      <alignment vertical="center"/>
    </xf>
    <xf numFmtId="177" fontId="2" fillId="0" borderId="0" xfId="1" applyNumberFormat="1" applyFont="1" applyFill="1" applyAlignment="1" applyProtection="1">
      <alignment vertical="center"/>
    </xf>
    <xf numFmtId="0" fontId="2" fillId="0" borderId="0" xfId="1" applyFont="1" applyFill="1" applyAlignment="1" applyProtection="1">
      <alignment horizontal="center" vertical="center"/>
    </xf>
    <xf numFmtId="0" fontId="2" fillId="0" borderId="0" xfId="1" applyFont="1" applyFill="1" applyBorder="1" applyAlignment="1" applyProtection="1">
      <alignment vertical="center"/>
    </xf>
    <xf numFmtId="0" fontId="0" fillId="0" borderId="0" xfId="0" applyProtection="1">
      <alignment vertical="center"/>
    </xf>
    <xf numFmtId="177" fontId="2" fillId="0" borderId="0" xfId="1" applyNumberFormat="1" applyFont="1" applyFill="1" applyBorder="1" applyAlignment="1" applyProtection="1">
      <alignment horizontal="center" vertical="center"/>
    </xf>
    <xf numFmtId="177" fontId="3" fillId="0" borderId="0" xfId="1" applyNumberFormat="1" applyFont="1" applyFill="1" applyBorder="1" applyAlignment="1" applyProtection="1">
      <alignment horizontal="center" vertical="center"/>
    </xf>
    <xf numFmtId="0" fontId="1" fillId="0" borderId="0" xfId="2" applyProtection="1"/>
    <xf numFmtId="14" fontId="1" fillId="0" borderId="0" xfId="2" applyNumberFormat="1" applyProtection="1"/>
    <xf numFmtId="0" fontId="3" fillId="0" borderId="0" xfId="1" applyFont="1" applyFill="1" applyBorder="1" applyAlignment="1" applyProtection="1">
      <alignment vertical="center"/>
    </xf>
    <xf numFmtId="0" fontId="3" fillId="0" borderId="0" xfId="1" applyFont="1" applyFill="1" applyAlignment="1" applyProtection="1">
      <alignment vertical="center"/>
    </xf>
    <xf numFmtId="0" fontId="4" fillId="0" borderId="0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horizontal="center" vertical="center"/>
    </xf>
    <xf numFmtId="0" fontId="4" fillId="0" borderId="0" xfId="1" applyFont="1" applyFill="1" applyAlignment="1" applyProtection="1">
      <alignment vertical="center"/>
    </xf>
    <xf numFmtId="177" fontId="2" fillId="0" borderId="0" xfId="1" applyNumberFormat="1" applyFont="1" applyFill="1" applyBorder="1" applyAlignment="1" applyProtection="1"/>
    <xf numFmtId="0" fontId="2" fillId="0" borderId="0" xfId="1" applyFont="1" applyFill="1" applyAlignment="1" applyProtection="1"/>
    <xf numFmtId="0" fontId="7" fillId="0" borderId="0" xfId="0" applyFont="1" applyProtection="1">
      <alignment vertical="center"/>
    </xf>
    <xf numFmtId="176" fontId="0" fillId="0" borderId="0" xfId="0" applyNumberFormat="1" applyProtection="1">
      <alignment vertical="center"/>
    </xf>
    <xf numFmtId="176" fontId="2" fillId="0" borderId="0" xfId="1" applyNumberFormat="1" applyFont="1" applyFill="1" applyAlignment="1" applyProtection="1">
      <alignment vertical="center"/>
    </xf>
    <xf numFmtId="176" fontId="7" fillId="0" borderId="0" xfId="0" applyNumberFormat="1" applyFont="1" applyProtection="1">
      <alignment vertical="center"/>
    </xf>
    <xf numFmtId="0" fontId="10" fillId="0" borderId="0" xfId="0" applyFont="1" applyProtection="1">
      <alignment vertical="center"/>
    </xf>
    <xf numFmtId="14" fontId="0" fillId="0" borderId="0" xfId="0" applyNumberFormat="1" applyProtection="1">
      <alignment vertical="center"/>
    </xf>
    <xf numFmtId="0" fontId="9" fillId="0" borderId="0" xfId="0" applyFont="1" applyBorder="1">
      <alignment vertical="center"/>
    </xf>
    <xf numFmtId="14" fontId="2" fillId="0" borderId="0" xfId="1" applyNumberFormat="1" applyFont="1" applyFill="1" applyBorder="1" applyAlignment="1" applyProtection="1">
      <alignment vertical="center"/>
    </xf>
    <xf numFmtId="0" fontId="2" fillId="0" borderId="0" xfId="1" applyNumberFormat="1" applyFont="1" applyFill="1" applyAlignment="1" applyProtection="1">
      <alignment vertical="center"/>
    </xf>
    <xf numFmtId="0" fontId="2" fillId="4" borderId="0" xfId="1" applyFont="1" applyFill="1" applyAlignment="1" applyProtection="1">
      <alignment vertical="center"/>
    </xf>
    <xf numFmtId="0" fontId="7" fillId="0" borderId="0" xfId="0" applyFont="1">
      <alignment vertical="center"/>
    </xf>
    <xf numFmtId="0" fontId="1" fillId="0" borderId="0" xfId="1" applyFont="1" applyFill="1" applyAlignment="1" applyProtection="1">
      <alignment horizontal="left"/>
    </xf>
    <xf numFmtId="0" fontId="2" fillId="0" borderId="0" xfId="1" applyFont="1" applyFill="1" applyAlignment="1" applyProtection="1">
      <alignment horizontal="left"/>
    </xf>
    <xf numFmtId="0" fontId="7" fillId="0" borderId="0" xfId="0" applyFont="1" applyAlignment="1">
      <alignment horizontal="left"/>
    </xf>
    <xf numFmtId="0" fontId="21" fillId="0" borderId="0" xfId="1" applyFont="1" applyFill="1" applyAlignment="1" applyProtection="1">
      <alignment horizontal="left"/>
    </xf>
    <xf numFmtId="0" fontId="0" fillId="0" borderId="0" xfId="0" applyAlignment="1">
      <alignment vertical="center"/>
    </xf>
    <xf numFmtId="178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6" fontId="0" fillId="0" borderId="0" xfId="0" applyNumberFormat="1" applyAlignment="1">
      <alignment vertical="center" shrinkToFit="1"/>
    </xf>
    <xf numFmtId="0" fontId="0" fillId="0" borderId="0" xfId="0" applyAlignment="1">
      <alignment vertical="center" shrinkToFit="1"/>
    </xf>
    <xf numFmtId="0" fontId="0" fillId="0" borderId="0" xfId="0" applyAlignment="1">
      <alignment horizontal="center" vertical="center" shrinkToFit="1"/>
    </xf>
    <xf numFmtId="178" fontId="0" fillId="0" borderId="0" xfId="0" applyNumberFormat="1" applyAlignment="1">
      <alignment horizontal="center" vertical="center" shrinkToFit="1"/>
    </xf>
    <xf numFmtId="180" fontId="0" fillId="0" borderId="0" xfId="0" applyNumberFormat="1" applyAlignment="1">
      <alignment horizontal="center" vertical="center" shrinkToFit="1"/>
    </xf>
    <xf numFmtId="0" fontId="0" fillId="0" borderId="0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178" fontId="0" fillId="0" borderId="0" xfId="0" applyNumberFormat="1" applyBorder="1" applyAlignment="1">
      <alignment vertical="center" shrinkToFit="1"/>
    </xf>
    <xf numFmtId="0" fontId="14" fillId="0" borderId="0" xfId="0" applyFont="1" applyBorder="1" applyAlignment="1">
      <alignment vertical="center" shrinkToFit="1"/>
    </xf>
    <xf numFmtId="0" fontId="0" fillId="0" borderId="0" xfId="0" applyFill="1" applyBorder="1" applyAlignment="1">
      <alignment horizontal="center" vertical="center"/>
    </xf>
    <xf numFmtId="180" fontId="0" fillId="0" borderId="0" xfId="0" applyNumberFormat="1" applyFill="1" applyBorder="1" applyAlignment="1">
      <alignment horizontal="center" vertical="center"/>
    </xf>
    <xf numFmtId="185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0" fontId="3" fillId="0" borderId="0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/>
    <xf numFmtId="0" fontId="3" fillId="0" borderId="0" xfId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2" xfId="1" applyFont="1" applyFill="1" applyBorder="1" applyAlignment="1" applyProtection="1">
      <alignment vertical="center"/>
    </xf>
    <xf numFmtId="0" fontId="2" fillId="4" borderId="0" xfId="1" applyFont="1" applyFill="1" applyBorder="1" applyAlignment="1" applyProtection="1">
      <alignment vertical="center"/>
    </xf>
    <xf numFmtId="177" fontId="2" fillId="0" borderId="0" xfId="1" applyNumberFormat="1" applyFont="1" applyFill="1" applyBorder="1" applyAlignment="1" applyProtection="1">
      <alignment vertical="center"/>
    </xf>
    <xf numFmtId="0" fontId="22" fillId="0" borderId="3" xfId="1" applyNumberFormat="1" applyFont="1" applyFill="1" applyBorder="1" applyAlignment="1" applyProtection="1">
      <alignment vertical="center"/>
    </xf>
    <xf numFmtId="177" fontId="22" fillId="0" borderId="3" xfId="1" applyNumberFormat="1" applyFont="1" applyFill="1" applyBorder="1" applyAlignment="1" applyProtection="1">
      <alignment vertical="center"/>
    </xf>
    <xf numFmtId="176" fontId="2" fillId="0" borderId="0" xfId="1" applyNumberFormat="1" applyFont="1" applyFill="1" applyBorder="1" applyAlignment="1" applyProtection="1">
      <alignment vertical="center"/>
    </xf>
    <xf numFmtId="177" fontId="0" fillId="0" borderId="0" xfId="0" applyNumberFormat="1" applyProtection="1">
      <alignment vertical="center"/>
    </xf>
    <xf numFmtId="20" fontId="0" fillId="0" borderId="0" xfId="0" applyNumberFormat="1" applyProtection="1">
      <alignment vertical="center"/>
    </xf>
    <xf numFmtId="0" fontId="2" fillId="4" borderId="0" xfId="1" applyFont="1" applyFill="1" applyAlignment="1" applyProtection="1"/>
    <xf numFmtId="0" fontId="3" fillId="4" borderId="0" xfId="1" applyFont="1" applyFill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  <protection locked="0"/>
    </xf>
    <xf numFmtId="0" fontId="0" fillId="0" borderId="0" xfId="0" applyFont="1" applyAlignment="1">
      <alignment vertical="center" shrinkToFit="1"/>
    </xf>
    <xf numFmtId="0" fontId="3" fillId="0" borderId="0" xfId="1" applyFont="1" applyFill="1" applyBorder="1" applyAlignment="1" applyProtection="1">
      <alignment vertical="center"/>
      <protection locked="0"/>
    </xf>
    <xf numFmtId="0" fontId="0" fillId="0" borderId="0" xfId="0" applyAlignment="1" applyProtection="1">
      <alignment vertical="center"/>
    </xf>
    <xf numFmtId="178" fontId="1" fillId="0" borderId="0" xfId="0" applyNumberFormat="1" applyFont="1" applyAlignment="1" applyProtection="1">
      <alignment vertical="center"/>
    </xf>
    <xf numFmtId="0" fontId="1" fillId="0" borderId="0" xfId="0" applyFont="1" applyAlignment="1" applyProtection="1">
      <alignment vertical="center"/>
    </xf>
    <xf numFmtId="0" fontId="4" fillId="0" borderId="0" xfId="0" applyFont="1" applyBorder="1" applyAlignment="1" applyProtection="1">
      <alignment horizontal="left" vertical="center"/>
    </xf>
    <xf numFmtId="177" fontId="1" fillId="0" borderId="0" xfId="0" applyNumberFormat="1" applyFont="1" applyAlignment="1" applyProtection="1">
      <alignment vertical="center"/>
    </xf>
    <xf numFmtId="181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80" fontId="0" fillId="0" borderId="0" xfId="0" applyNumberFormat="1" applyAlignment="1" applyProtection="1">
      <alignment horizontal="center" vertical="center"/>
    </xf>
    <xf numFmtId="0" fontId="2" fillId="4" borderId="0" xfId="1" applyFont="1" applyFill="1" applyAlignment="1" applyProtection="1">
      <alignment vertical="center"/>
      <protection hidden="1"/>
    </xf>
    <xf numFmtId="0" fontId="2" fillId="4" borderId="0" xfId="1" applyFont="1" applyFill="1" applyAlignment="1" applyProtection="1">
      <protection hidden="1"/>
    </xf>
    <xf numFmtId="0" fontId="2" fillId="4" borderId="0" xfId="1" applyFont="1" applyFill="1" applyBorder="1" applyAlignment="1" applyProtection="1">
      <protection hidden="1"/>
    </xf>
    <xf numFmtId="0" fontId="3" fillId="4" borderId="0" xfId="1" applyFont="1" applyFill="1" applyAlignment="1" applyProtection="1">
      <alignment vertical="center"/>
      <protection hidden="1"/>
    </xf>
    <xf numFmtId="0" fontId="3" fillId="0" borderId="0" xfId="1" applyFont="1" applyFill="1" applyAlignment="1" applyProtection="1">
      <alignment vertical="center"/>
      <protection hidden="1"/>
    </xf>
    <xf numFmtId="0" fontId="3" fillId="4" borderId="0" xfId="1" applyFont="1" applyFill="1" applyBorder="1" applyAlignment="1" applyProtection="1">
      <alignment horizontal="center" vertical="center"/>
      <protection hidden="1"/>
    </xf>
    <xf numFmtId="0" fontId="2" fillId="4" borderId="0" xfId="1" applyFont="1" applyFill="1" applyBorder="1" applyAlignment="1" applyProtection="1">
      <alignment vertical="center"/>
      <protection hidden="1"/>
    </xf>
    <xf numFmtId="0" fontId="2" fillId="4" borderId="0" xfId="1" applyFont="1" applyFill="1" applyBorder="1" applyAlignment="1" applyProtection="1">
      <alignment horizontal="center" vertical="center"/>
      <protection hidden="1"/>
    </xf>
    <xf numFmtId="177" fontId="2" fillId="4" borderId="0" xfId="1" applyNumberFormat="1" applyFont="1" applyFill="1" applyAlignment="1" applyProtection="1">
      <alignment vertical="center"/>
      <protection hidden="1"/>
    </xf>
    <xf numFmtId="0" fontId="4" fillId="4" borderId="0" xfId="1" applyNumberFormat="1" applyFont="1" applyFill="1" applyBorder="1" applyAlignment="1" applyProtection="1">
      <alignment vertical="center"/>
      <protection hidden="1"/>
    </xf>
    <xf numFmtId="177" fontId="4" fillId="4" borderId="0" xfId="1" applyNumberFormat="1" applyFont="1" applyFill="1" applyBorder="1" applyAlignment="1" applyProtection="1">
      <alignment vertical="center"/>
      <protection hidden="1"/>
    </xf>
    <xf numFmtId="20" fontId="2" fillId="4" borderId="0" xfId="1" applyNumberFormat="1" applyFont="1" applyFill="1" applyAlignment="1" applyProtection="1">
      <alignment vertical="center"/>
      <protection hidden="1"/>
    </xf>
    <xf numFmtId="0" fontId="3" fillId="4" borderId="3" xfId="1" applyFont="1" applyFill="1" applyBorder="1" applyAlignment="1" applyProtection="1">
      <alignment vertical="center"/>
      <protection hidden="1"/>
    </xf>
    <xf numFmtId="0" fontId="2" fillId="4" borderId="3" xfId="1" applyFont="1" applyFill="1" applyBorder="1" applyAlignment="1" applyProtection="1">
      <alignment vertical="center"/>
      <protection hidden="1"/>
    </xf>
    <xf numFmtId="177" fontId="3" fillId="4" borderId="0" xfId="1" applyNumberFormat="1" applyFont="1" applyFill="1" applyBorder="1" applyAlignment="1" applyProtection="1">
      <alignment vertical="center" wrapText="1"/>
      <protection hidden="1"/>
    </xf>
    <xf numFmtId="0" fontId="3" fillId="4" borderId="0" xfId="1" applyFont="1" applyFill="1" applyBorder="1" applyAlignment="1" applyProtection="1">
      <alignment vertical="center" wrapText="1"/>
      <protection hidden="1"/>
    </xf>
    <xf numFmtId="0" fontId="3" fillId="5" borderId="3" xfId="1" applyNumberFormat="1" applyFont="1" applyFill="1" applyBorder="1" applyAlignment="1" applyProtection="1">
      <alignment horizontal="center" vertical="center"/>
      <protection locked="0"/>
    </xf>
    <xf numFmtId="0" fontId="23" fillId="4" borderId="0" xfId="1" applyFont="1" applyFill="1" applyAlignment="1" applyProtection="1">
      <alignment vertical="center"/>
      <protection locked="0" hidden="1"/>
    </xf>
    <xf numFmtId="14" fontId="11" fillId="0" borderId="0" xfId="1" applyNumberFormat="1" applyFont="1" applyFill="1" applyBorder="1" applyAlignment="1" applyProtection="1">
      <alignment vertical="center"/>
    </xf>
    <xf numFmtId="14" fontId="11" fillId="0" borderId="0" xfId="1" applyNumberFormat="1" applyFont="1" applyFill="1" applyBorder="1" applyAlignment="1" applyProtection="1">
      <alignment vertical="center"/>
      <protection locked="0"/>
    </xf>
    <xf numFmtId="187" fontId="2" fillId="0" borderId="0" xfId="0" applyNumberFormat="1" applyFon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14" fillId="0" borderId="0" xfId="0" applyFont="1" applyFill="1" applyBorder="1" applyAlignment="1">
      <alignment vertical="center" shrinkToFit="1"/>
    </xf>
    <xf numFmtId="0" fontId="0" fillId="0" borderId="0" xfId="0" applyFill="1" applyAlignment="1">
      <alignment vertical="center" shrinkToFit="1"/>
    </xf>
    <xf numFmtId="0" fontId="0" fillId="0" borderId="0" xfId="0" applyFill="1" applyAlignment="1">
      <alignment horizontal="center" vertical="center" shrinkToFit="1"/>
    </xf>
    <xf numFmtId="178" fontId="0" fillId="0" borderId="0" xfId="0" applyNumberFormat="1" applyFill="1" applyAlignment="1">
      <alignment horizontal="center" vertical="center" shrinkToFit="1"/>
    </xf>
    <xf numFmtId="0" fontId="1" fillId="0" borderId="0" xfId="0" applyFont="1" applyFill="1" applyBorder="1" applyAlignment="1">
      <alignment vertical="center" shrinkToFit="1"/>
    </xf>
    <xf numFmtId="177" fontId="1" fillId="0" borderId="0" xfId="0" applyNumberFormat="1" applyFont="1" applyFill="1" applyBorder="1" applyAlignment="1">
      <alignment horizontal="center" vertical="center" shrinkToFit="1"/>
    </xf>
    <xf numFmtId="0" fontId="12" fillId="0" borderId="0" xfId="0" applyFont="1" applyFill="1" applyBorder="1" applyAlignment="1">
      <alignment vertical="center"/>
    </xf>
    <xf numFmtId="186" fontId="0" fillId="0" borderId="0" xfId="0" applyNumberFormat="1" applyFill="1" applyAlignment="1">
      <alignment vertical="center"/>
    </xf>
    <xf numFmtId="178" fontId="0" fillId="0" borderId="0" xfId="0" applyNumberFormat="1" applyFill="1" applyBorder="1" applyAlignment="1">
      <alignment vertical="center"/>
    </xf>
    <xf numFmtId="178" fontId="13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177" fontId="1" fillId="0" borderId="0" xfId="0" applyNumberFormat="1" applyFont="1" applyFill="1" applyBorder="1" applyAlignment="1">
      <alignment vertical="center" shrinkToFit="1"/>
    </xf>
    <xf numFmtId="49" fontId="1" fillId="0" borderId="0" xfId="0" applyNumberFormat="1" applyFont="1" applyFill="1" applyBorder="1" applyAlignment="1">
      <alignment vertical="center" shrinkToFit="1"/>
    </xf>
    <xf numFmtId="0" fontId="9" fillId="0" borderId="0" xfId="0" applyFont="1" applyFill="1">
      <alignment vertical="center"/>
    </xf>
    <xf numFmtId="0" fontId="9" fillId="0" borderId="0" xfId="0" applyFont="1" applyFill="1" applyBorder="1" applyProtection="1">
      <alignment vertical="center"/>
    </xf>
    <xf numFmtId="0" fontId="9" fillId="0" borderId="0" xfId="0" applyFont="1" applyFill="1" applyBorder="1">
      <alignment vertical="center"/>
    </xf>
    <xf numFmtId="0" fontId="2" fillId="0" borderId="0" xfId="1" applyFont="1" applyFill="1" applyBorder="1" applyAlignment="1" applyProtection="1">
      <alignment vertical="center"/>
      <protection hidden="1"/>
    </xf>
    <xf numFmtId="0" fontId="4" fillId="0" borderId="0" xfId="1" applyNumberFormat="1" applyFont="1" applyFill="1" applyBorder="1" applyAlignment="1" applyProtection="1">
      <alignment vertical="center"/>
      <protection hidden="1"/>
    </xf>
    <xf numFmtId="20" fontId="2" fillId="0" borderId="0" xfId="1" applyNumberFormat="1" applyFont="1" applyFill="1" applyAlignment="1" applyProtection="1">
      <alignment vertical="center"/>
      <protection hidden="1"/>
    </xf>
    <xf numFmtId="0" fontId="2" fillId="0" borderId="0" xfId="1" applyFont="1" applyFill="1" applyAlignment="1" applyProtection="1">
      <alignment vertical="center"/>
      <protection hidden="1"/>
    </xf>
    <xf numFmtId="0" fontId="2" fillId="0" borderId="3" xfId="1" applyFont="1" applyFill="1" applyBorder="1" applyAlignment="1" applyProtection="1">
      <alignment vertical="center"/>
      <protection hidden="1"/>
    </xf>
    <xf numFmtId="177" fontId="2" fillId="0" borderId="0" xfId="1" applyNumberFormat="1" applyFont="1" applyFill="1" applyAlignment="1" applyProtection="1">
      <alignment vertical="center"/>
      <protection hidden="1"/>
    </xf>
    <xf numFmtId="0" fontId="4" fillId="0" borderId="0" xfId="1" applyNumberFormat="1" applyFont="1" applyFill="1" applyBorder="1" applyAlignment="1" applyProtection="1">
      <alignment vertical="center"/>
      <protection locked="0"/>
    </xf>
    <xf numFmtId="20" fontId="4" fillId="0" borderId="0" xfId="1" applyNumberFormat="1" applyFont="1" applyFill="1" applyBorder="1" applyAlignment="1" applyProtection="1">
      <alignment vertical="center"/>
      <protection locked="0"/>
    </xf>
    <xf numFmtId="0" fontId="4" fillId="0" borderId="0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vertical="center" wrapText="1"/>
    </xf>
    <xf numFmtId="0" fontId="3" fillId="0" borderId="0" xfId="1" applyFont="1" applyFill="1" applyBorder="1" applyAlignment="1" applyProtection="1">
      <alignment vertical="center" wrapText="1"/>
      <protection hidden="1"/>
    </xf>
    <xf numFmtId="0" fontId="2" fillId="0" borderId="4" xfId="1" applyFont="1" applyFill="1" applyBorder="1" applyAlignment="1" applyProtection="1">
      <alignment vertical="center"/>
      <protection hidden="1"/>
    </xf>
    <xf numFmtId="176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0" xfId="0" applyNumberFormat="1" applyFill="1" applyAlignment="1">
      <alignment vertical="center"/>
    </xf>
    <xf numFmtId="0" fontId="0" fillId="0" borderId="0" xfId="0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0" fontId="24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 wrapText="1"/>
    </xf>
    <xf numFmtId="177" fontId="0" fillId="0" borderId="0" xfId="0" applyNumberFormat="1" applyFont="1" applyFill="1" applyAlignment="1">
      <alignment horizontal="center" vertical="center" shrinkToFit="1"/>
    </xf>
    <xf numFmtId="176" fontId="0" fillId="0" borderId="0" xfId="0" applyNumberFormat="1" applyFont="1" applyFill="1" applyAlignment="1">
      <alignment horizontal="center" vertical="center" shrinkToFit="1"/>
    </xf>
    <xf numFmtId="177" fontId="0" fillId="0" borderId="0" xfId="0" applyNumberFormat="1" applyFont="1" applyFill="1" applyAlignment="1">
      <alignment vertical="center" shrinkToFit="1"/>
    </xf>
    <xf numFmtId="0" fontId="0" fillId="0" borderId="0" xfId="0" applyFont="1" applyFill="1" applyAlignment="1">
      <alignment vertical="center" shrinkToFit="1"/>
    </xf>
    <xf numFmtId="0" fontId="0" fillId="0" borderId="0" xfId="0" applyFont="1" applyFill="1" applyBorder="1" applyAlignment="1">
      <alignment vertical="center" shrinkToFit="1"/>
    </xf>
    <xf numFmtId="176" fontId="0" fillId="0" borderId="0" xfId="0" applyNumberFormat="1" applyFont="1" applyFill="1" applyBorder="1" applyAlignment="1">
      <alignment vertical="center" shrinkToFit="1"/>
    </xf>
    <xf numFmtId="188" fontId="0" fillId="0" borderId="0" xfId="0" applyNumberFormat="1" applyFill="1" applyBorder="1" applyAlignment="1">
      <alignment vertical="center"/>
    </xf>
    <xf numFmtId="176" fontId="0" fillId="0" borderId="0" xfId="0" applyNumberFormat="1" applyFill="1" applyAlignment="1">
      <alignment horizontal="center" vertical="center" shrinkToFit="1"/>
    </xf>
    <xf numFmtId="177" fontId="0" fillId="0" borderId="0" xfId="0" applyNumberFormat="1" applyFill="1" applyAlignment="1">
      <alignment horizontal="center" vertical="center" shrinkToFit="1"/>
    </xf>
    <xf numFmtId="177" fontId="0" fillId="0" borderId="0" xfId="0" applyNumberFormat="1" applyFill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88" fontId="0" fillId="0" borderId="0" xfId="0" applyNumberFormat="1" applyFill="1" applyBorder="1" applyAlignment="1">
      <alignment vertical="center" shrinkToFit="1"/>
    </xf>
    <xf numFmtId="176" fontId="0" fillId="0" borderId="0" xfId="0" applyNumberFormat="1" applyFill="1" applyAlignment="1">
      <alignment vertical="center"/>
    </xf>
    <xf numFmtId="188" fontId="0" fillId="0" borderId="0" xfId="0" applyNumberFormat="1" applyFill="1" applyAlignment="1">
      <alignment vertical="center"/>
    </xf>
    <xf numFmtId="0" fontId="7" fillId="0" borderId="0" xfId="0" applyFont="1" applyFill="1">
      <alignment vertical="center"/>
    </xf>
    <xf numFmtId="0" fontId="7" fillId="0" borderId="0" xfId="0" applyFont="1" applyFill="1" applyAlignment="1"/>
    <xf numFmtId="0" fontId="9" fillId="0" borderId="0" xfId="0" applyNumberFormat="1" applyFont="1" applyFill="1">
      <alignment vertical="center"/>
    </xf>
    <xf numFmtId="185" fontId="0" fillId="0" borderId="0" xfId="0" applyNumberFormat="1" applyFill="1" applyAlignment="1">
      <alignment horizontal="center" vertical="center"/>
    </xf>
    <xf numFmtId="185" fontId="0" fillId="0" borderId="0" xfId="0" applyNumberFormat="1" applyFont="1" applyFill="1" applyAlignment="1">
      <alignment horizontal="center" vertical="center" shrinkToFit="1"/>
    </xf>
    <xf numFmtId="185" fontId="0" fillId="0" borderId="0" xfId="0" applyNumberFormat="1" applyFill="1" applyAlignment="1">
      <alignment horizontal="center" vertical="center" shrinkToFit="1"/>
    </xf>
    <xf numFmtId="3" fontId="3" fillId="0" borderId="0" xfId="1" applyNumberFormat="1" applyFont="1" applyFill="1" applyBorder="1" applyAlignment="1" applyProtection="1">
      <alignment vertical="center"/>
    </xf>
    <xf numFmtId="187" fontId="1" fillId="0" borderId="0" xfId="0" applyNumberFormat="1" applyFont="1" applyFill="1" applyBorder="1" applyAlignment="1">
      <alignment vertical="center" shrinkToFit="1"/>
    </xf>
    <xf numFmtId="176" fontId="2" fillId="0" borderId="5" xfId="1" applyNumberFormat="1" applyFont="1" applyFill="1" applyBorder="1" applyAlignment="1" applyProtection="1">
      <alignment vertical="center"/>
    </xf>
    <xf numFmtId="0" fontId="2" fillId="3" borderId="0" xfId="1" applyFont="1" applyFill="1" applyAlignment="1" applyProtection="1">
      <alignment vertical="center"/>
    </xf>
    <xf numFmtId="0" fontId="7" fillId="0" borderId="0" xfId="0" applyFont="1" applyAlignment="1"/>
    <xf numFmtId="0" fontId="2" fillId="3" borderId="0" xfId="1" applyFont="1" applyFill="1" applyAlignment="1" applyProtection="1"/>
    <xf numFmtId="0" fontId="2" fillId="3" borderId="0" xfId="1" applyFont="1" applyFill="1" applyBorder="1" applyAlignment="1" applyProtection="1"/>
    <xf numFmtId="0" fontId="2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Alignment="1" applyProtection="1">
      <alignment vertical="center"/>
    </xf>
    <xf numFmtId="0" fontId="3" fillId="3" borderId="0" xfId="1" applyFont="1" applyFill="1" applyBorder="1" applyAlignment="1" applyProtection="1">
      <alignment horizontal="center" vertical="center"/>
    </xf>
    <xf numFmtId="0" fontId="2" fillId="3" borderId="0" xfId="1" applyFont="1" applyFill="1" applyBorder="1" applyAlignment="1" applyProtection="1">
      <alignment vertical="center"/>
    </xf>
    <xf numFmtId="0" fontId="9" fillId="0" borderId="0" xfId="0" applyFont="1">
      <alignment vertical="center"/>
    </xf>
    <xf numFmtId="0" fontId="3" fillId="6" borderId="5" xfId="1" applyFont="1" applyFill="1" applyBorder="1" applyAlignment="1" applyProtection="1">
      <alignment vertical="center"/>
    </xf>
    <xf numFmtId="0" fontId="3" fillId="6" borderId="6" xfId="1" applyFont="1" applyFill="1" applyBorder="1" applyAlignment="1" applyProtection="1">
      <alignment vertical="center"/>
    </xf>
    <xf numFmtId="0" fontId="3" fillId="6" borderId="7" xfId="1" applyFont="1" applyFill="1" applyBorder="1" applyAlignment="1" applyProtection="1">
      <alignment vertical="center"/>
    </xf>
    <xf numFmtId="0" fontId="9" fillId="4" borderId="0" xfId="0" applyFont="1" applyFill="1">
      <alignment vertical="center"/>
    </xf>
    <xf numFmtId="177" fontId="2" fillId="4" borderId="0" xfId="1" applyNumberFormat="1" applyFont="1" applyFill="1" applyBorder="1" applyAlignment="1" applyProtection="1">
      <alignment horizontal="center" vertical="center"/>
    </xf>
    <xf numFmtId="0" fontId="3" fillId="5" borderId="0" xfId="1" applyFont="1" applyFill="1" applyBorder="1" applyAlignment="1" applyProtection="1">
      <alignment vertical="center"/>
    </xf>
    <xf numFmtId="0" fontId="3" fillId="5" borderId="5" xfId="1" applyFont="1" applyFill="1" applyBorder="1" applyAlignment="1" applyProtection="1">
      <alignment vertical="center"/>
    </xf>
    <xf numFmtId="0" fontId="3" fillId="5" borderId="7" xfId="1" applyFont="1" applyFill="1" applyBorder="1" applyAlignment="1" applyProtection="1">
      <alignment horizontal="left" vertical="center"/>
    </xf>
    <xf numFmtId="0" fontId="2" fillId="0" borderId="0" xfId="1" applyFont="1" applyFill="1" applyBorder="1" applyAlignment="1" applyProtection="1">
      <alignment horizontal="center" vertical="center"/>
      <protection locked="0"/>
    </xf>
    <xf numFmtId="0" fontId="4" fillId="5" borderId="3" xfId="1" applyNumberFormat="1" applyFont="1" applyFill="1" applyBorder="1" applyAlignment="1" applyProtection="1">
      <alignment horizontal="center" vertical="center"/>
      <protection locked="0"/>
    </xf>
    <xf numFmtId="20" fontId="2" fillId="0" borderId="0" xfId="1" applyNumberFormat="1" applyFont="1" applyFill="1" applyAlignment="1" applyProtection="1">
      <alignment vertical="center"/>
    </xf>
    <xf numFmtId="0" fontId="3" fillId="3" borderId="3" xfId="1" applyFont="1" applyFill="1" applyBorder="1" applyAlignment="1" applyProtection="1">
      <alignment vertical="center"/>
    </xf>
    <xf numFmtId="0" fontId="9" fillId="0" borderId="0" xfId="0" applyNumberFormat="1" applyFont="1">
      <alignment vertical="center"/>
    </xf>
    <xf numFmtId="0" fontId="2" fillId="3" borderId="3" xfId="1" applyFont="1" applyFill="1" applyBorder="1" applyAlignment="1" applyProtection="1">
      <alignment vertical="center"/>
    </xf>
    <xf numFmtId="0" fontId="9" fillId="0" borderId="0" xfId="0" applyFont="1" applyProtection="1">
      <alignment vertical="center"/>
    </xf>
    <xf numFmtId="0" fontId="4" fillId="0" borderId="0" xfId="1" applyFont="1" applyFill="1" applyBorder="1" applyAlignment="1" applyProtection="1">
      <alignment vertical="center"/>
      <protection hidden="1"/>
    </xf>
    <xf numFmtId="0" fontId="1" fillId="0" borderId="0" xfId="1" applyFont="1" applyFill="1" applyBorder="1" applyAlignment="1" applyProtection="1">
      <alignment vertical="center"/>
      <protection hidden="1"/>
    </xf>
    <xf numFmtId="0" fontId="1" fillId="0" borderId="0" xfId="1" applyFont="1" applyFill="1" applyAlignment="1" applyProtection="1">
      <alignment vertical="center"/>
      <protection hidden="1"/>
    </xf>
    <xf numFmtId="0" fontId="4" fillId="0" borderId="0" xfId="1" applyFont="1" applyFill="1" applyAlignment="1" applyProtection="1">
      <alignment vertical="center"/>
      <protection hidden="1"/>
    </xf>
    <xf numFmtId="0" fontId="2" fillId="0" borderId="0" xfId="1" applyFont="1" applyFill="1" applyAlignment="1" applyProtection="1">
      <protection hidden="1"/>
    </xf>
    <xf numFmtId="0" fontId="4" fillId="0" borderId="0" xfId="1" applyFont="1" applyFill="1" applyBorder="1" applyAlignment="1" applyProtection="1">
      <alignment horizontal="center"/>
      <protection hidden="1"/>
    </xf>
    <xf numFmtId="0" fontId="1" fillId="0" borderId="0" xfId="1" applyFont="1" applyFill="1" applyBorder="1" applyAlignment="1" applyProtection="1">
      <protection hidden="1"/>
    </xf>
    <xf numFmtId="0" fontId="4" fillId="0" borderId="0" xfId="1" applyFont="1" applyFill="1" applyAlignment="1" applyProtection="1">
      <protection hidden="1"/>
    </xf>
    <xf numFmtId="0" fontId="3" fillId="0" borderId="8" xfId="1" applyFont="1" applyFill="1" applyBorder="1" applyAlignment="1" applyProtection="1">
      <alignment horizontal="center" vertical="center"/>
      <protection hidden="1"/>
    </xf>
    <xf numFmtId="0" fontId="3" fillId="0" borderId="8" xfId="1" applyFont="1" applyFill="1" applyBorder="1" applyAlignment="1" applyProtection="1">
      <alignment horizontal="left" vertical="center"/>
      <protection hidden="1"/>
    </xf>
    <xf numFmtId="0" fontId="2" fillId="0" borderId="8" xfId="1" applyFont="1" applyFill="1" applyBorder="1" applyAlignment="1" applyProtection="1">
      <protection hidden="1"/>
    </xf>
    <xf numFmtId="0" fontId="3" fillId="0" borderId="0" xfId="1" applyFont="1" applyFill="1" applyBorder="1" applyAlignment="1" applyProtection="1">
      <alignment vertical="center"/>
      <protection hidden="1"/>
    </xf>
    <xf numFmtId="184" fontId="3" fillId="0" borderId="0" xfId="1" applyNumberFormat="1" applyFont="1" applyFill="1" applyBorder="1" applyAlignment="1" applyProtection="1">
      <alignment horizontal="left" vertical="center"/>
      <protection hidden="1"/>
    </xf>
    <xf numFmtId="0" fontId="23" fillId="4" borderId="0" xfId="1" applyFont="1" applyFill="1" applyBorder="1" applyAlignment="1" applyProtection="1">
      <alignment vertical="center"/>
      <protection hidden="1"/>
    </xf>
    <xf numFmtId="0" fontId="23" fillId="4" borderId="2" xfId="1" applyFont="1" applyFill="1" applyBorder="1" applyAlignment="1" applyProtection="1">
      <alignment vertical="center"/>
      <protection hidden="1"/>
    </xf>
    <xf numFmtId="0" fontId="26" fillId="0" borderId="0" xfId="0" applyFont="1" applyFill="1" applyAlignment="1">
      <alignment horizontal="left" vertical="center"/>
    </xf>
    <xf numFmtId="0" fontId="27" fillId="0" borderId="0" xfId="0" applyFont="1" applyFill="1" applyAlignment="1">
      <alignment vertical="center"/>
    </xf>
    <xf numFmtId="0" fontId="28" fillId="0" borderId="0" xfId="0" applyFont="1" applyFill="1" applyAlignment="1">
      <alignment horizontal="center" vertical="center"/>
    </xf>
    <xf numFmtId="0" fontId="27" fillId="0" borderId="3" xfId="0" applyFont="1" applyFill="1" applyBorder="1" applyAlignment="1" applyProtection="1">
      <alignment horizontal="right" vertical="center"/>
    </xf>
    <xf numFmtId="0" fontId="27" fillId="0" borderId="3" xfId="1" applyFont="1" applyFill="1" applyBorder="1" applyAlignment="1" applyProtection="1">
      <alignment horizontal="center" vertical="center"/>
    </xf>
    <xf numFmtId="0" fontId="27" fillId="0" borderId="3" xfId="1" applyFont="1" applyFill="1" applyBorder="1" applyAlignment="1" applyProtection="1">
      <alignment horizontal="center" vertical="center" wrapText="1"/>
    </xf>
    <xf numFmtId="0" fontId="27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0" borderId="3" xfId="1" applyFont="1" applyFill="1" applyBorder="1" applyAlignment="1" applyProtection="1">
      <alignment vertical="center"/>
    </xf>
    <xf numFmtId="0" fontId="27" fillId="0" borderId="3" xfId="1" quotePrefix="1" applyFont="1" applyFill="1" applyBorder="1" applyAlignment="1" applyProtection="1">
      <alignment horizontal="center" vertical="center"/>
    </xf>
    <xf numFmtId="183" fontId="27" fillId="0" borderId="3" xfId="1" applyNumberFormat="1" applyFont="1" applyFill="1" applyBorder="1" applyAlignment="1" applyProtection="1">
      <alignment horizontal="center" vertical="center"/>
    </xf>
    <xf numFmtId="0" fontId="27" fillId="0" borderId="3" xfId="0" applyFont="1" applyFill="1" applyBorder="1" applyAlignment="1" applyProtection="1">
      <alignment vertical="center"/>
    </xf>
    <xf numFmtId="0" fontId="27" fillId="0" borderId="0" xfId="0" applyFont="1" applyFill="1" applyAlignment="1">
      <alignment horizontal="center" vertical="center"/>
    </xf>
    <xf numFmtId="49" fontId="29" fillId="0" borderId="0" xfId="0" applyNumberFormat="1" applyFont="1" applyFill="1" applyBorder="1" applyAlignment="1"/>
    <xf numFmtId="0" fontId="29" fillId="0" borderId="0" xfId="0" applyFont="1" applyFill="1" applyBorder="1" applyAlignment="1"/>
    <xf numFmtId="49" fontId="29" fillId="0" borderId="9" xfId="0" applyNumberFormat="1" applyFont="1" applyFill="1" applyBorder="1" applyAlignment="1">
      <alignment horizontal="center"/>
    </xf>
    <xf numFmtId="0" fontId="29" fillId="0" borderId="10" xfId="0" applyFont="1" applyFill="1" applyBorder="1" applyAlignment="1">
      <alignment horizontal="center"/>
    </xf>
    <xf numFmtId="49" fontId="29" fillId="0" borderId="11" xfId="0" quotePrefix="1" applyNumberFormat="1" applyFont="1" applyFill="1" applyBorder="1" applyAlignment="1">
      <alignment horizontal="right"/>
    </xf>
    <xf numFmtId="0" fontId="29" fillId="0" borderId="12" xfId="0" quotePrefix="1" applyFont="1" applyFill="1" applyBorder="1" applyAlignment="1"/>
    <xf numFmtId="49" fontId="29" fillId="0" borderId="13" xfId="0" quotePrefix="1" applyNumberFormat="1" applyFont="1" applyFill="1" applyBorder="1" applyAlignment="1">
      <alignment horizontal="right"/>
    </xf>
    <xf numFmtId="0" fontId="29" fillId="0" borderId="14" xfId="0" applyFont="1" applyFill="1" applyBorder="1" applyAlignment="1"/>
    <xf numFmtId="177" fontId="29" fillId="0" borderId="12" xfId="0" quotePrefix="1" applyNumberFormat="1" applyFont="1" applyFill="1" applyBorder="1" applyAlignment="1"/>
    <xf numFmtId="49" fontId="1" fillId="0" borderId="0" xfId="0" applyNumberFormat="1" applyFont="1" applyFill="1" applyBorder="1" applyAlignment="1" applyProtection="1">
      <alignment vertical="center" shrinkToFit="1"/>
    </xf>
    <xf numFmtId="188" fontId="16" fillId="0" borderId="0" xfId="0" applyNumberFormat="1" applyFont="1" applyFill="1" applyBorder="1" applyAlignment="1">
      <alignment vertical="center" shrinkToFit="1"/>
    </xf>
    <xf numFmtId="188" fontId="30" fillId="0" borderId="0" xfId="0" applyNumberFormat="1" applyFont="1" applyFill="1" applyBorder="1" applyAlignment="1">
      <alignment vertical="center" shrinkToFit="1"/>
    </xf>
    <xf numFmtId="188" fontId="17" fillId="0" borderId="0" xfId="0" applyNumberFormat="1" applyFont="1" applyFill="1" applyBorder="1" applyAlignment="1">
      <alignment vertical="center" shrinkToFit="1"/>
    </xf>
    <xf numFmtId="188" fontId="31" fillId="0" borderId="0" xfId="0" applyNumberFormat="1" applyFont="1" applyFill="1" applyBorder="1" applyAlignment="1">
      <alignment vertical="center" shrinkToFit="1"/>
    </xf>
    <xf numFmtId="189" fontId="17" fillId="0" borderId="0" xfId="0" applyNumberFormat="1" applyFont="1" applyFill="1" applyBorder="1" applyAlignment="1">
      <alignment vertical="center" shrinkToFit="1"/>
    </xf>
    <xf numFmtId="188" fontId="15" fillId="0" borderId="0" xfId="0" applyNumberFormat="1" applyFont="1" applyFill="1" applyBorder="1" applyAlignment="1">
      <alignment vertical="center" shrinkToFit="1"/>
    </xf>
    <xf numFmtId="0" fontId="11" fillId="0" borderId="0" xfId="1" applyFont="1" applyFill="1" applyBorder="1" applyAlignme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0" fontId="0" fillId="0" borderId="15" xfId="0" applyBorder="1" applyAlignment="1" applyProtection="1">
      <alignment vertical="center"/>
    </xf>
    <xf numFmtId="0" fontId="0" fillId="0" borderId="8" xfId="0" applyBorder="1" applyAlignment="1" applyProtection="1">
      <alignment vertical="center"/>
    </xf>
    <xf numFmtId="0" fontId="0" fillId="0" borderId="16" xfId="0" applyBorder="1" applyAlignment="1" applyProtection="1">
      <alignment vertical="center"/>
    </xf>
    <xf numFmtId="0" fontId="3" fillId="7" borderId="3" xfId="1" applyFont="1" applyFill="1" applyBorder="1" applyAlignment="1" applyProtection="1">
      <alignment horizontal="center" vertical="center"/>
    </xf>
    <xf numFmtId="177" fontId="15" fillId="0" borderId="17" xfId="1" applyNumberFormat="1" applyFont="1" applyFill="1" applyBorder="1" applyAlignment="1" applyProtection="1">
      <alignment horizontal="center" vertical="center" shrinkToFit="1"/>
      <protection hidden="1"/>
    </xf>
    <xf numFmtId="177" fontId="15" fillId="0" borderId="18" xfId="1" applyNumberFormat="1" applyFont="1" applyFill="1" applyBorder="1" applyAlignment="1" applyProtection="1">
      <alignment horizontal="center" vertical="center" shrinkToFit="1"/>
      <protection hidden="1"/>
    </xf>
    <xf numFmtId="177" fontId="15" fillId="0" borderId="19" xfId="1" applyNumberFormat="1" applyFont="1" applyFill="1" applyBorder="1" applyAlignment="1" applyProtection="1">
      <alignment horizontal="center" vertical="center" shrinkToFit="1"/>
      <protection hidden="1"/>
    </xf>
    <xf numFmtId="0" fontId="3" fillId="8" borderId="6" xfId="1" applyFont="1" applyFill="1" applyBorder="1" applyAlignment="1" applyProtection="1">
      <alignment horizontal="center" vertical="center"/>
    </xf>
    <xf numFmtId="0" fontId="3" fillId="8" borderId="7" xfId="1" applyFont="1" applyFill="1" applyBorder="1" applyAlignment="1" applyProtection="1">
      <alignment horizontal="center" vertical="center"/>
    </xf>
    <xf numFmtId="0" fontId="3" fillId="8" borderId="1" xfId="1" applyFont="1" applyFill="1" applyBorder="1" applyAlignment="1" applyProtection="1">
      <alignment horizontal="center" vertical="center"/>
    </xf>
    <xf numFmtId="0" fontId="3" fillId="8" borderId="2" xfId="1" applyFont="1" applyFill="1" applyBorder="1" applyAlignment="1" applyProtection="1">
      <alignment horizontal="center" vertical="center"/>
    </xf>
    <xf numFmtId="0" fontId="3" fillId="8" borderId="15" xfId="1" applyFont="1" applyFill="1" applyBorder="1" applyAlignment="1" applyProtection="1">
      <alignment horizontal="center" vertical="center"/>
    </xf>
    <xf numFmtId="0" fontId="3" fillId="8" borderId="16" xfId="1" applyFont="1" applyFill="1" applyBorder="1" applyAlignment="1" applyProtection="1">
      <alignment horizontal="center" vertical="center"/>
    </xf>
    <xf numFmtId="0" fontId="15" fillId="0" borderId="3" xfId="1" applyFont="1" applyFill="1" applyBorder="1" applyAlignment="1" applyProtection="1">
      <alignment horizontal="left" vertical="center" shrinkToFit="1"/>
      <protection locked="0"/>
    </xf>
    <xf numFmtId="0" fontId="15" fillId="0" borderId="3" xfId="1" applyFont="1" applyFill="1" applyBorder="1" applyAlignment="1" applyProtection="1">
      <alignment horizontal="left" vertical="center" wrapText="1" shrinkToFit="1"/>
      <protection locked="0"/>
    </xf>
    <xf numFmtId="0" fontId="3" fillId="8" borderId="17" xfId="1" applyFont="1" applyFill="1" applyBorder="1" applyAlignment="1" applyProtection="1">
      <alignment horizontal="center" vertical="center"/>
    </xf>
    <xf numFmtId="0" fontId="3" fillId="8" borderId="18" xfId="1" applyFont="1" applyFill="1" applyBorder="1" applyAlignment="1" applyProtection="1">
      <alignment horizontal="center" vertical="center"/>
    </xf>
    <xf numFmtId="0" fontId="3" fillId="8" borderId="19" xfId="1" applyFont="1" applyFill="1" applyBorder="1" applyAlignment="1" applyProtection="1">
      <alignment horizontal="center" vertical="center"/>
    </xf>
    <xf numFmtId="49" fontId="3" fillId="0" borderId="17" xfId="1" applyNumberFormat="1" applyFont="1" applyFill="1" applyBorder="1" applyAlignment="1" applyProtection="1">
      <alignment horizontal="center" vertical="center"/>
      <protection locked="0"/>
    </xf>
    <xf numFmtId="49" fontId="3" fillId="0" borderId="18" xfId="1" applyNumberFormat="1" applyFont="1" applyFill="1" applyBorder="1" applyAlignment="1" applyProtection="1">
      <alignment horizontal="center" vertical="center"/>
      <protection locked="0"/>
    </xf>
    <xf numFmtId="49" fontId="3" fillId="0" borderId="19" xfId="1" applyNumberFormat="1" applyFont="1" applyFill="1" applyBorder="1" applyAlignment="1" applyProtection="1">
      <alignment horizontal="center" vertical="center"/>
      <protection locked="0"/>
    </xf>
    <xf numFmtId="0" fontId="3" fillId="4" borderId="17" xfId="1" applyFont="1" applyFill="1" applyBorder="1" applyAlignment="1" applyProtection="1">
      <alignment horizontal="center" vertical="center"/>
      <protection locked="0"/>
    </xf>
    <xf numFmtId="0" fontId="3" fillId="4" borderId="18" xfId="1" applyFont="1" applyFill="1" applyBorder="1" applyAlignment="1" applyProtection="1">
      <alignment horizontal="center" vertical="center"/>
      <protection locked="0"/>
    </xf>
    <xf numFmtId="0" fontId="3" fillId="4" borderId="19" xfId="1" applyFont="1" applyFill="1" applyBorder="1" applyAlignment="1" applyProtection="1">
      <alignment horizontal="center" vertical="center"/>
      <protection locked="0"/>
    </xf>
    <xf numFmtId="176" fontId="15" fillId="0" borderId="17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18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19" xfId="1" applyNumberFormat="1" applyFont="1" applyFill="1" applyBorder="1" applyAlignment="1" applyProtection="1">
      <alignment horizontal="center" vertical="center" shrinkToFit="1"/>
      <protection locked="0"/>
    </xf>
    <xf numFmtId="177" fontId="15" fillId="9" borderId="17" xfId="1" applyNumberFormat="1" applyFont="1" applyFill="1" applyBorder="1" applyAlignment="1" applyProtection="1">
      <alignment horizontal="center" vertical="center" shrinkToFit="1"/>
      <protection hidden="1"/>
    </xf>
    <xf numFmtId="177" fontId="15" fillId="9" borderId="18" xfId="1" applyNumberFormat="1" applyFont="1" applyFill="1" applyBorder="1" applyAlignment="1" applyProtection="1">
      <alignment horizontal="center" vertical="center" shrinkToFit="1"/>
      <protection hidden="1"/>
    </xf>
    <xf numFmtId="177" fontId="15" fillId="9" borderId="19" xfId="1" applyNumberFormat="1" applyFont="1" applyFill="1" applyBorder="1" applyAlignment="1" applyProtection="1">
      <alignment horizontal="center" vertical="center" shrinkToFit="1"/>
      <protection hidden="1"/>
    </xf>
    <xf numFmtId="0" fontId="3" fillId="8" borderId="5" xfId="1" applyFont="1" applyFill="1" applyBorder="1" applyAlignment="1" applyProtection="1">
      <alignment horizontal="center" vertical="center"/>
    </xf>
    <xf numFmtId="0" fontId="3" fillId="8" borderId="0" xfId="1" applyFont="1" applyFill="1" applyBorder="1" applyAlignment="1" applyProtection="1">
      <alignment horizontal="center" vertical="center"/>
    </xf>
    <xf numFmtId="0" fontId="3" fillId="8" borderId="8" xfId="1" applyFont="1" applyFill="1" applyBorder="1" applyAlignment="1" applyProtection="1">
      <alignment horizontal="center" vertical="center"/>
    </xf>
    <xf numFmtId="14" fontId="3" fillId="0" borderId="17" xfId="1" applyNumberFormat="1" applyFont="1" applyFill="1" applyBorder="1" applyAlignment="1" applyProtection="1">
      <alignment horizontal="center" vertical="center"/>
      <protection locked="0"/>
    </xf>
    <xf numFmtId="0" fontId="3" fillId="0" borderId="18" xfId="1" applyFont="1" applyFill="1" applyBorder="1" applyAlignment="1" applyProtection="1">
      <alignment horizontal="center" vertical="center"/>
      <protection locked="0"/>
    </xf>
    <xf numFmtId="0" fontId="3" fillId="0" borderId="19" xfId="1" applyFont="1" applyFill="1" applyBorder="1" applyAlignment="1" applyProtection="1">
      <alignment horizontal="center" vertical="center"/>
      <protection locked="0"/>
    </xf>
    <xf numFmtId="0" fontId="3" fillId="4" borderId="18" xfId="1" applyFont="1" applyFill="1" applyBorder="1" applyAlignment="1" applyProtection="1">
      <alignment horizontal="center" vertical="center"/>
      <protection hidden="1"/>
    </xf>
    <xf numFmtId="0" fontId="3" fillId="4" borderId="19" xfId="1" applyFont="1" applyFill="1" applyBorder="1" applyAlignment="1" applyProtection="1">
      <alignment horizontal="center" vertical="center"/>
      <protection hidden="1"/>
    </xf>
    <xf numFmtId="0" fontId="3" fillId="4" borderId="3" xfId="1" applyFont="1" applyFill="1" applyBorder="1" applyAlignment="1" applyProtection="1">
      <alignment horizontal="center" vertical="center"/>
      <protection hidden="1"/>
    </xf>
    <xf numFmtId="0" fontId="3" fillId="0" borderId="17" xfId="1" applyFont="1" applyFill="1" applyBorder="1" applyAlignment="1" applyProtection="1">
      <alignment horizontal="center" vertical="center"/>
      <protection locked="0"/>
    </xf>
    <xf numFmtId="0" fontId="3" fillId="10" borderId="6" xfId="1" applyFont="1" applyFill="1" applyBorder="1" applyAlignment="1" applyProtection="1">
      <alignment horizontal="center" vertical="center"/>
    </xf>
    <xf numFmtId="0" fontId="3" fillId="10" borderId="5" xfId="1" applyFont="1" applyFill="1" applyBorder="1" applyAlignment="1" applyProtection="1">
      <alignment horizontal="center" vertical="center"/>
    </xf>
    <xf numFmtId="0" fontId="3" fillId="10" borderId="7" xfId="1" applyFont="1" applyFill="1" applyBorder="1" applyAlignment="1" applyProtection="1">
      <alignment horizontal="center" vertical="center"/>
    </xf>
    <xf numFmtId="0" fontId="3" fillId="10" borderId="15" xfId="1" applyFont="1" applyFill="1" applyBorder="1" applyAlignment="1" applyProtection="1">
      <alignment horizontal="center" vertical="center"/>
    </xf>
    <xf numFmtId="0" fontId="3" fillId="10" borderId="8" xfId="1" applyFont="1" applyFill="1" applyBorder="1" applyAlignment="1" applyProtection="1">
      <alignment horizontal="center" vertical="center"/>
    </xf>
    <xf numFmtId="0" fontId="3" fillId="10" borderId="16" xfId="1" applyFont="1" applyFill="1" applyBorder="1" applyAlignment="1" applyProtection="1">
      <alignment horizontal="center" vertical="center"/>
    </xf>
    <xf numFmtId="0" fontId="3" fillId="8" borderId="3" xfId="1" applyFont="1" applyFill="1" applyBorder="1" applyAlignment="1" applyProtection="1">
      <alignment horizontal="center" vertical="center"/>
    </xf>
    <xf numFmtId="0" fontId="2" fillId="8" borderId="3" xfId="1" applyFont="1" applyFill="1" applyBorder="1" applyAlignment="1" applyProtection="1">
      <alignment horizontal="center" vertical="center"/>
    </xf>
    <xf numFmtId="20" fontId="3" fillId="5" borderId="18" xfId="1" applyNumberFormat="1" applyFont="1" applyFill="1" applyBorder="1" applyAlignment="1" applyProtection="1">
      <alignment horizontal="center" vertical="center"/>
      <protection locked="0"/>
    </xf>
    <xf numFmtId="20" fontId="3" fillId="5" borderId="19" xfId="1" applyNumberFormat="1" applyFont="1" applyFill="1" applyBorder="1" applyAlignment="1" applyProtection="1">
      <alignment horizontal="center" vertical="center"/>
      <protection locked="0"/>
    </xf>
    <xf numFmtId="20" fontId="3" fillId="5" borderId="3" xfId="1" applyNumberFormat="1" applyFont="1" applyFill="1" applyBorder="1" applyAlignment="1" applyProtection="1">
      <alignment horizontal="center" vertical="center"/>
      <protection locked="0"/>
    </xf>
    <xf numFmtId="0" fontId="3" fillId="5" borderId="3" xfId="1" applyNumberFormat="1" applyFont="1" applyFill="1" applyBorder="1" applyAlignment="1" applyProtection="1">
      <alignment horizontal="center" vertical="center"/>
      <protection locked="0"/>
    </xf>
    <xf numFmtId="176" fontId="15" fillId="0" borderId="17" xfId="1" applyNumberFormat="1" applyFont="1" applyFill="1" applyBorder="1" applyAlignment="1" applyProtection="1">
      <alignment horizontal="center" vertical="center"/>
      <protection locked="0"/>
    </xf>
    <xf numFmtId="176" fontId="15" fillId="0" borderId="18" xfId="1" applyNumberFormat="1" applyFont="1" applyFill="1" applyBorder="1" applyAlignment="1" applyProtection="1">
      <alignment horizontal="center" vertical="center"/>
      <protection locked="0"/>
    </xf>
    <xf numFmtId="176" fontId="15" fillId="0" borderId="19" xfId="1" applyNumberFormat="1" applyFont="1" applyFill="1" applyBorder="1" applyAlignment="1" applyProtection="1">
      <alignment horizontal="center" vertical="center"/>
      <protection locked="0"/>
    </xf>
    <xf numFmtId="0" fontId="3" fillId="5" borderId="6" xfId="1" applyNumberFormat="1" applyFont="1" applyFill="1" applyBorder="1" applyAlignment="1" applyProtection="1">
      <alignment horizontal="center" vertical="center"/>
      <protection locked="0"/>
    </xf>
    <xf numFmtId="0" fontId="3" fillId="5" borderId="5" xfId="1" applyNumberFormat="1" applyFont="1" applyFill="1" applyBorder="1" applyAlignment="1" applyProtection="1">
      <alignment horizontal="center" vertical="center"/>
      <protection locked="0"/>
    </xf>
    <xf numFmtId="0" fontId="3" fillId="5" borderId="7" xfId="1" applyNumberFormat="1" applyFont="1" applyFill="1" applyBorder="1" applyAlignment="1" applyProtection="1">
      <alignment horizontal="center" vertical="center"/>
      <protection locked="0"/>
    </xf>
    <xf numFmtId="0" fontId="3" fillId="5" borderId="15" xfId="1" applyNumberFormat="1" applyFont="1" applyFill="1" applyBorder="1" applyAlignment="1" applyProtection="1">
      <alignment horizontal="center" vertical="center"/>
      <protection locked="0"/>
    </xf>
    <xf numFmtId="0" fontId="3" fillId="5" borderId="8" xfId="1" applyNumberFormat="1" applyFont="1" applyFill="1" applyBorder="1" applyAlignment="1" applyProtection="1">
      <alignment horizontal="center" vertical="center"/>
      <protection locked="0"/>
    </xf>
    <xf numFmtId="0" fontId="3" fillId="5" borderId="16" xfId="1" applyNumberFormat="1" applyFont="1" applyFill="1" applyBorder="1" applyAlignment="1" applyProtection="1">
      <alignment horizontal="center" vertical="center"/>
      <protection locked="0"/>
    </xf>
    <xf numFmtId="176" fontId="15" fillId="0" borderId="17" xfId="1" applyNumberFormat="1" applyFont="1" applyFill="1" applyBorder="1" applyAlignment="1" applyProtection="1">
      <alignment horizontal="center" vertical="center" shrinkToFit="1"/>
      <protection hidden="1"/>
    </xf>
    <xf numFmtId="176" fontId="15" fillId="0" borderId="18" xfId="1" applyNumberFormat="1" applyFont="1" applyFill="1" applyBorder="1" applyAlignment="1" applyProtection="1">
      <alignment horizontal="center" vertical="center" shrinkToFit="1"/>
      <protection hidden="1"/>
    </xf>
    <xf numFmtId="176" fontId="15" fillId="0" borderId="19" xfId="1" applyNumberFormat="1" applyFont="1" applyFill="1" applyBorder="1" applyAlignment="1" applyProtection="1">
      <alignment horizontal="center" vertical="center" shrinkToFit="1"/>
      <protection hidden="1"/>
    </xf>
    <xf numFmtId="0" fontId="3" fillId="10" borderId="3" xfId="1" applyFont="1" applyFill="1" applyBorder="1" applyAlignment="1" applyProtection="1">
      <alignment horizontal="center" vertical="center"/>
    </xf>
    <xf numFmtId="3" fontId="3" fillId="4" borderId="17" xfId="1" applyNumberFormat="1" applyFont="1" applyFill="1" applyBorder="1" applyAlignment="1" applyProtection="1">
      <alignment horizontal="center" vertical="center"/>
      <protection locked="0"/>
    </xf>
    <xf numFmtId="3" fontId="3" fillId="4" borderId="18" xfId="1" applyNumberFormat="1" applyFont="1" applyFill="1" applyBorder="1" applyAlignment="1" applyProtection="1">
      <alignment horizontal="center" vertical="center"/>
      <protection locked="0"/>
    </xf>
    <xf numFmtId="3" fontId="3" fillId="4" borderId="19" xfId="1" applyNumberFormat="1" applyFont="1" applyFill="1" applyBorder="1" applyAlignment="1" applyProtection="1">
      <alignment horizontal="center" vertical="center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8" borderId="6" xfId="1" applyFont="1" applyFill="1" applyBorder="1" applyAlignment="1" applyProtection="1">
      <alignment horizontal="center" vertical="center" wrapText="1"/>
    </xf>
    <xf numFmtId="0" fontId="3" fillId="8" borderId="5" xfId="1" applyFont="1" applyFill="1" applyBorder="1" applyAlignment="1" applyProtection="1">
      <alignment horizontal="center" vertical="center" wrapText="1"/>
    </xf>
    <xf numFmtId="0" fontId="3" fillId="8" borderId="7" xfId="1" applyFont="1" applyFill="1" applyBorder="1" applyAlignment="1" applyProtection="1">
      <alignment horizontal="center" vertical="center" wrapText="1"/>
    </xf>
    <xf numFmtId="0" fontId="3" fillId="8" borderId="1" xfId="1" applyFont="1" applyFill="1" applyBorder="1" applyAlignment="1" applyProtection="1">
      <alignment horizontal="center" vertical="center" wrapText="1"/>
    </xf>
    <xf numFmtId="0" fontId="3" fillId="8" borderId="0" xfId="1" applyFont="1" applyFill="1" applyBorder="1" applyAlignment="1" applyProtection="1">
      <alignment horizontal="center" vertical="center" wrapText="1"/>
    </xf>
    <xf numFmtId="0" fontId="3" fillId="8" borderId="2" xfId="1" applyFont="1" applyFill="1" applyBorder="1" applyAlignment="1" applyProtection="1">
      <alignment horizontal="center" vertical="center" wrapText="1"/>
    </xf>
    <xf numFmtId="0" fontId="3" fillId="8" borderId="15" xfId="1" applyFont="1" applyFill="1" applyBorder="1" applyAlignment="1" applyProtection="1">
      <alignment horizontal="center" vertical="center" wrapText="1"/>
    </xf>
    <xf numFmtId="0" fontId="3" fillId="8" borderId="8" xfId="1" applyFont="1" applyFill="1" applyBorder="1" applyAlignment="1" applyProtection="1">
      <alignment horizontal="center" vertical="center" wrapText="1"/>
    </xf>
    <xf numFmtId="0" fontId="3" fillId="8" borderId="16" xfId="1" applyFont="1" applyFill="1" applyBorder="1" applyAlignment="1" applyProtection="1">
      <alignment horizontal="center" vertical="center" wrapText="1"/>
    </xf>
    <xf numFmtId="0" fontId="3" fillId="4" borderId="17" xfId="1" applyFont="1" applyFill="1" applyBorder="1" applyAlignment="1" applyProtection="1">
      <alignment horizontal="center" vertical="center"/>
      <protection hidden="1"/>
    </xf>
    <xf numFmtId="179" fontId="15" fillId="0" borderId="3" xfId="1" applyNumberFormat="1" applyFont="1" applyFill="1" applyBorder="1" applyAlignment="1" applyProtection="1">
      <alignment horizontal="center" vertical="center" shrinkToFit="1"/>
      <protection hidden="1"/>
    </xf>
    <xf numFmtId="178" fontId="15" fillId="0" borderId="17" xfId="1" applyNumberFormat="1" applyFont="1" applyFill="1" applyBorder="1" applyAlignment="1" applyProtection="1">
      <alignment horizontal="center" vertical="center"/>
      <protection hidden="1"/>
    </xf>
    <xf numFmtId="178" fontId="15" fillId="0" borderId="18" xfId="1" applyNumberFormat="1" applyFont="1" applyFill="1" applyBorder="1" applyAlignment="1" applyProtection="1">
      <alignment horizontal="center" vertical="center"/>
      <protection hidden="1"/>
    </xf>
    <xf numFmtId="178" fontId="15" fillId="0" borderId="19" xfId="1" applyNumberFormat="1" applyFont="1" applyFill="1" applyBorder="1" applyAlignment="1" applyProtection="1">
      <alignment horizontal="center" vertical="center"/>
      <protection hidden="1"/>
    </xf>
    <xf numFmtId="0" fontId="5" fillId="0" borderId="0" xfId="1" applyFont="1" applyFill="1" applyAlignment="1" applyProtection="1">
      <alignment horizontal="center" vertical="center"/>
    </xf>
    <xf numFmtId="0" fontId="3" fillId="10" borderId="4" xfId="1" applyFont="1" applyFill="1" applyBorder="1" applyAlignment="1" applyProtection="1">
      <alignment horizontal="center" vertical="center"/>
    </xf>
    <xf numFmtId="0" fontId="3" fillId="4" borderId="18" xfId="1" applyFont="1" applyFill="1" applyBorder="1" applyAlignment="1" applyProtection="1">
      <alignment horizontal="center" vertical="center"/>
    </xf>
    <xf numFmtId="0" fontId="3" fillId="4" borderId="19" xfId="1" applyFont="1" applyFill="1" applyBorder="1" applyAlignment="1" applyProtection="1">
      <alignment horizontal="center" vertical="center"/>
    </xf>
    <xf numFmtId="0" fontId="3" fillId="4" borderId="3" xfId="1" applyNumberFormat="1" applyFont="1" applyFill="1" applyBorder="1" applyAlignment="1" applyProtection="1">
      <alignment horizontal="center" vertical="center"/>
      <protection hidden="1"/>
    </xf>
    <xf numFmtId="0" fontId="3" fillId="0" borderId="0" xfId="1" applyFont="1" applyFill="1" applyBorder="1" applyAlignment="1" applyProtection="1">
      <alignment horizontal="center" vertical="center"/>
    </xf>
    <xf numFmtId="0" fontId="3" fillId="10" borderId="17" xfId="1" applyFont="1" applyFill="1" applyBorder="1" applyAlignment="1" applyProtection="1">
      <alignment horizontal="center" vertical="center"/>
    </xf>
    <xf numFmtId="0" fontId="3" fillId="10" borderId="18" xfId="1" applyFont="1" applyFill="1" applyBorder="1" applyAlignment="1" applyProtection="1">
      <alignment horizontal="center" vertical="center"/>
    </xf>
    <xf numFmtId="20" fontId="3" fillId="5" borderId="17" xfId="1" applyNumberFormat="1" applyFont="1" applyFill="1" applyBorder="1" applyAlignment="1" applyProtection="1">
      <alignment horizontal="center" vertical="center"/>
      <protection locked="0"/>
    </xf>
    <xf numFmtId="0" fontId="3" fillId="10" borderId="19" xfId="1" applyFont="1" applyFill="1" applyBorder="1" applyAlignment="1" applyProtection="1">
      <alignment horizontal="center" vertical="center"/>
    </xf>
    <xf numFmtId="178" fontId="13" fillId="0" borderId="0" xfId="0" applyNumberFormat="1" applyFont="1" applyFill="1" applyBorder="1" applyAlignment="1">
      <alignment horizontal="center"/>
    </xf>
    <xf numFmtId="0" fontId="15" fillId="8" borderId="23" xfId="0" applyFont="1" applyFill="1" applyBorder="1" applyAlignment="1" applyProtection="1">
      <alignment horizontal="center" vertical="center" wrapText="1"/>
    </xf>
    <xf numFmtId="0" fontId="15" fillId="8" borderId="24" xfId="0" applyFont="1" applyFill="1" applyBorder="1" applyAlignment="1" applyProtection="1">
      <alignment horizontal="center" vertical="center" wrapText="1"/>
    </xf>
    <xf numFmtId="0" fontId="15" fillId="8" borderId="25" xfId="0" applyFont="1" applyFill="1" applyBorder="1" applyAlignment="1" applyProtection="1">
      <alignment horizontal="center" vertical="center" wrapText="1"/>
    </xf>
    <xf numFmtId="49" fontId="1" fillId="8" borderId="26" xfId="0" applyNumberFormat="1" applyFont="1" applyFill="1" applyBorder="1" applyAlignment="1" applyProtection="1">
      <alignment horizontal="center" vertical="center" shrinkToFit="1"/>
    </xf>
    <xf numFmtId="49" fontId="1" fillId="8" borderId="27" xfId="0" applyNumberFormat="1" applyFont="1" applyFill="1" applyBorder="1" applyAlignment="1" applyProtection="1">
      <alignment horizontal="center" vertical="center" shrinkToFit="1"/>
    </xf>
    <xf numFmtId="0" fontId="1" fillId="0" borderId="21" xfId="0" applyFont="1" applyBorder="1" applyAlignment="1" applyProtection="1">
      <alignment horizontal="center" vertical="center" shrinkToFit="1"/>
      <protection hidden="1"/>
    </xf>
    <xf numFmtId="0" fontId="1" fillId="0" borderId="22" xfId="0" applyFont="1" applyBorder="1" applyAlignment="1" applyProtection="1">
      <alignment horizontal="center" vertical="center" shrinkToFit="1"/>
      <protection hidden="1"/>
    </xf>
    <xf numFmtId="177" fontId="1" fillId="0" borderId="28" xfId="0" applyNumberFormat="1" applyFont="1" applyBorder="1" applyAlignment="1" applyProtection="1">
      <alignment horizontal="center" vertical="center" shrinkToFit="1"/>
      <protection hidden="1"/>
    </xf>
    <xf numFmtId="177" fontId="1" fillId="0" borderId="21" xfId="0" applyNumberFormat="1" applyFont="1" applyBorder="1" applyAlignment="1" applyProtection="1">
      <alignment horizontal="center" vertical="center" shrinkToFit="1"/>
      <protection hidden="1"/>
    </xf>
    <xf numFmtId="177" fontId="1" fillId="0" borderId="29" xfId="0" applyNumberFormat="1" applyFont="1" applyBorder="1" applyAlignment="1" applyProtection="1">
      <alignment horizontal="center" vertical="center" shrinkToFit="1"/>
      <protection hidden="1"/>
    </xf>
    <xf numFmtId="49" fontId="1" fillId="8" borderId="30" xfId="0" applyNumberFormat="1" applyFont="1" applyFill="1" applyBorder="1" applyAlignment="1" applyProtection="1">
      <alignment horizontal="center" vertical="center" shrinkToFit="1"/>
    </xf>
    <xf numFmtId="0" fontId="1" fillId="0" borderId="20" xfId="0" applyFont="1" applyBorder="1" applyAlignment="1" applyProtection="1">
      <alignment horizontal="center" vertical="center" shrinkToFit="1"/>
      <protection hidden="1"/>
    </xf>
    <xf numFmtId="0" fontId="1" fillId="8" borderId="30" xfId="0" applyFont="1" applyFill="1" applyBorder="1" applyAlignment="1" applyProtection="1">
      <alignment horizontal="center" vertical="center" shrinkToFit="1"/>
    </xf>
    <xf numFmtId="0" fontId="1" fillId="8" borderId="26" xfId="0" applyFont="1" applyFill="1" applyBorder="1" applyAlignment="1" applyProtection="1">
      <alignment horizontal="center" vertical="center" shrinkToFit="1"/>
    </xf>
    <xf numFmtId="0" fontId="1" fillId="8" borderId="27" xfId="0" applyFont="1" applyFill="1" applyBorder="1" applyAlignment="1" applyProtection="1">
      <alignment horizontal="center" vertical="center" shrinkToFit="1"/>
    </xf>
    <xf numFmtId="190" fontId="32" fillId="0" borderId="35" xfId="0" applyNumberFormat="1" applyFont="1" applyBorder="1" applyAlignment="1" applyProtection="1">
      <alignment horizontal="center" vertical="center" shrinkToFit="1"/>
      <protection hidden="1"/>
    </xf>
    <xf numFmtId="190" fontId="32" fillId="0" borderId="32" xfId="0" applyNumberFormat="1" applyFont="1" applyBorder="1" applyAlignment="1" applyProtection="1">
      <alignment horizontal="center" vertical="center" shrinkToFit="1"/>
      <protection hidden="1"/>
    </xf>
    <xf numFmtId="190" fontId="32" fillId="0" borderId="33" xfId="0" applyNumberFormat="1" applyFont="1" applyBorder="1" applyAlignment="1" applyProtection="1">
      <alignment horizontal="center" vertical="center" shrinkToFit="1"/>
      <protection hidden="1"/>
    </xf>
    <xf numFmtId="0" fontId="15" fillId="8" borderId="23" xfId="0" applyFont="1" applyFill="1" applyBorder="1" applyAlignment="1" applyProtection="1">
      <alignment horizontal="center" vertical="center" shrinkToFit="1"/>
    </xf>
    <xf numFmtId="0" fontId="15" fillId="8" borderId="24" xfId="0" applyFont="1" applyFill="1" applyBorder="1" applyAlignment="1" applyProtection="1">
      <alignment horizontal="center" vertical="center" shrinkToFit="1"/>
    </xf>
    <xf numFmtId="0" fontId="15" fillId="8" borderId="25" xfId="0" applyFont="1" applyFill="1" applyBorder="1" applyAlignment="1" applyProtection="1">
      <alignment horizontal="center" vertical="center" shrinkToFit="1"/>
    </xf>
    <xf numFmtId="0" fontId="16" fillId="2" borderId="31" xfId="0" applyNumberFormat="1" applyFont="1" applyFill="1" applyBorder="1" applyAlignment="1" applyProtection="1">
      <alignment horizontal="center" vertical="center" shrinkToFit="1"/>
      <protection hidden="1"/>
    </xf>
    <xf numFmtId="0" fontId="16" fillId="2" borderId="32" xfId="0" applyNumberFormat="1" applyFont="1" applyFill="1" applyBorder="1" applyAlignment="1" applyProtection="1">
      <alignment horizontal="center" vertical="center" shrinkToFit="1"/>
      <protection hidden="1"/>
    </xf>
    <xf numFmtId="0" fontId="16" fillId="2" borderId="33" xfId="0" applyNumberFormat="1" applyFont="1" applyFill="1" applyBorder="1" applyAlignment="1" applyProtection="1">
      <alignment horizontal="center" vertical="center" shrinkToFit="1"/>
      <protection hidden="1"/>
    </xf>
    <xf numFmtId="0" fontId="16" fillId="0" borderId="31" xfId="0" applyNumberFormat="1" applyFont="1" applyFill="1" applyBorder="1" applyAlignment="1" applyProtection="1">
      <alignment horizontal="center" vertical="center" shrinkToFit="1"/>
      <protection hidden="1"/>
    </xf>
    <xf numFmtId="0" fontId="16" fillId="0" borderId="32" xfId="0" applyNumberFormat="1" applyFont="1" applyFill="1" applyBorder="1" applyAlignment="1" applyProtection="1">
      <alignment horizontal="center" vertical="center" shrinkToFit="1"/>
      <protection hidden="1"/>
    </xf>
    <xf numFmtId="0" fontId="16" fillId="0" borderId="33" xfId="0" applyNumberFormat="1" applyFont="1" applyFill="1" applyBorder="1" applyAlignment="1" applyProtection="1">
      <alignment horizontal="center" vertical="center" shrinkToFit="1"/>
      <protection hidden="1"/>
    </xf>
    <xf numFmtId="0" fontId="18" fillId="0" borderId="6" xfId="1" applyFont="1" applyFill="1" applyBorder="1" applyAlignment="1" applyProtection="1">
      <alignment horizontal="center" vertical="center"/>
    </xf>
    <xf numFmtId="0" fontId="18" fillId="0" borderId="5" xfId="1" applyFont="1" applyFill="1" applyBorder="1" applyAlignment="1" applyProtection="1">
      <alignment horizontal="center" vertical="center"/>
    </xf>
    <xf numFmtId="0" fontId="18" fillId="0" borderId="7" xfId="1" applyFont="1" applyFill="1" applyBorder="1" applyAlignment="1" applyProtection="1">
      <alignment horizontal="center" vertical="center"/>
    </xf>
    <xf numFmtId="177" fontId="32" fillId="0" borderId="31" xfId="0" applyNumberFormat="1" applyFont="1" applyBorder="1" applyAlignment="1" applyProtection="1">
      <alignment horizontal="center" vertical="center" shrinkToFit="1"/>
      <protection hidden="1"/>
    </xf>
    <xf numFmtId="177" fontId="32" fillId="0" borderId="32" xfId="0" applyNumberFormat="1" applyFont="1" applyBorder="1" applyAlignment="1" applyProtection="1">
      <alignment horizontal="center" vertical="center" shrinkToFit="1"/>
      <protection hidden="1"/>
    </xf>
    <xf numFmtId="177" fontId="32" fillId="0" borderId="33" xfId="0" applyNumberFormat="1" applyFont="1" applyBorder="1" applyAlignment="1" applyProtection="1">
      <alignment horizontal="center" vertical="center" shrinkToFit="1"/>
      <protection hidden="1"/>
    </xf>
    <xf numFmtId="177" fontId="32" fillId="0" borderId="34" xfId="0" applyNumberFormat="1" applyFont="1" applyBorder="1" applyAlignment="1" applyProtection="1">
      <alignment horizontal="center" vertical="center" shrinkToFit="1"/>
      <protection hidden="1"/>
    </xf>
    <xf numFmtId="177" fontId="32" fillId="0" borderId="31" xfId="0" applyNumberFormat="1" applyFont="1" applyBorder="1" applyAlignment="1" applyProtection="1">
      <alignment horizontal="center" vertical="center" wrapText="1" shrinkToFit="1"/>
      <protection hidden="1"/>
    </xf>
    <xf numFmtId="177" fontId="32" fillId="0" borderId="32" xfId="0" applyNumberFormat="1" applyFont="1" applyBorder="1" applyAlignment="1" applyProtection="1">
      <alignment horizontal="center" vertical="center" wrapText="1" shrinkToFit="1"/>
      <protection hidden="1"/>
    </xf>
    <xf numFmtId="177" fontId="32" fillId="0" borderId="33" xfId="0" applyNumberFormat="1" applyFont="1" applyBorder="1" applyAlignment="1" applyProtection="1">
      <alignment horizontal="center" vertical="center" wrapText="1" shrinkToFit="1"/>
      <protection hidden="1"/>
    </xf>
    <xf numFmtId="0" fontId="15" fillId="0" borderId="36" xfId="1" applyFont="1" applyFill="1" applyBorder="1" applyAlignment="1" applyProtection="1">
      <alignment horizontal="center" vertical="center"/>
      <protection locked="0"/>
    </xf>
    <xf numFmtId="0" fontId="7" fillId="0" borderId="36" xfId="0" applyFont="1" applyBorder="1" applyAlignment="1" applyProtection="1">
      <alignment horizontal="center" vertical="center"/>
      <protection locked="0"/>
    </xf>
    <xf numFmtId="0" fontId="7" fillId="0" borderId="37" xfId="0" applyFont="1" applyBorder="1" applyAlignment="1" applyProtection="1">
      <alignment horizontal="center" vertical="center"/>
      <protection locked="0"/>
    </xf>
    <xf numFmtId="0" fontId="7" fillId="0" borderId="38" xfId="0" applyFont="1" applyBorder="1" applyAlignment="1" applyProtection="1">
      <alignment horizontal="center" vertical="center"/>
      <protection locked="0"/>
    </xf>
    <xf numFmtId="0" fontId="15" fillId="0" borderId="39" xfId="0" applyFont="1" applyFill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16" xfId="0" applyFont="1" applyBorder="1" applyAlignment="1" applyProtection="1">
      <alignment horizontal="center" vertical="center"/>
      <protection locked="0"/>
    </xf>
    <xf numFmtId="192" fontId="1" fillId="0" borderId="42" xfId="1" applyNumberFormat="1" applyFont="1" applyFill="1" applyBorder="1" applyAlignment="1" applyProtection="1">
      <alignment horizontal="center" vertical="center" shrinkToFit="1"/>
      <protection locked="0"/>
    </xf>
    <xf numFmtId="192" fontId="20" fillId="0" borderId="42" xfId="0" applyNumberFormat="1" applyFont="1" applyBorder="1" applyAlignment="1" applyProtection="1">
      <alignment horizontal="center" vertical="center" shrinkToFit="1"/>
      <protection locked="0"/>
    </xf>
    <xf numFmtId="192" fontId="1" fillId="0" borderId="30" xfId="0" applyNumberFormat="1" applyFont="1" applyFill="1" applyBorder="1" applyAlignment="1" applyProtection="1">
      <alignment horizontal="center" vertical="center" shrinkToFit="1"/>
      <protection locked="0"/>
    </xf>
    <xf numFmtId="192" fontId="20" fillId="0" borderId="26" xfId="0" applyNumberFormat="1" applyFont="1" applyBorder="1" applyAlignment="1" applyProtection="1">
      <alignment horizontal="center" vertical="center" shrinkToFit="1"/>
      <protection locked="0"/>
    </xf>
    <xf numFmtId="192" fontId="20" fillId="0" borderId="27" xfId="0" applyNumberFormat="1" applyFont="1" applyBorder="1" applyAlignment="1" applyProtection="1">
      <alignment horizontal="center" vertical="center" shrinkToFit="1"/>
      <protection locked="0"/>
    </xf>
    <xf numFmtId="0" fontId="5" fillId="0" borderId="0" xfId="1" applyFont="1" applyFill="1" applyAlignment="1" applyProtection="1">
      <alignment horizontal="center" vertical="center"/>
      <protection hidden="1"/>
    </xf>
    <xf numFmtId="0" fontId="4" fillId="0" borderId="0" xfId="1" applyFont="1" applyFill="1" applyBorder="1" applyAlignment="1" applyProtection="1">
      <alignment horizontal="center"/>
      <protection hidden="1"/>
    </xf>
    <xf numFmtId="0" fontId="3" fillId="0" borderId="8" xfId="1" applyFont="1" applyFill="1" applyBorder="1" applyAlignment="1" applyProtection="1">
      <alignment horizontal="center" vertical="center"/>
      <protection hidden="1"/>
    </xf>
    <xf numFmtId="49" fontId="3" fillId="0" borderId="8" xfId="1" applyNumberFormat="1" applyFont="1" applyFill="1" applyBorder="1" applyAlignment="1" applyProtection="1">
      <alignment horizontal="center" vertical="center"/>
      <protection hidden="1"/>
    </xf>
    <xf numFmtId="0" fontId="3" fillId="7" borderId="18" xfId="1" applyFont="1" applyFill="1" applyBorder="1" applyAlignment="1" applyProtection="1">
      <alignment horizontal="center" vertical="center"/>
      <protection hidden="1"/>
    </xf>
    <xf numFmtId="0" fontId="3" fillId="0" borderId="18" xfId="1" applyFont="1" applyFill="1" applyBorder="1" applyAlignment="1" applyProtection="1">
      <alignment horizontal="center" vertical="center"/>
      <protection hidden="1"/>
    </xf>
    <xf numFmtId="14" fontId="2" fillId="0" borderId="8" xfId="1" applyNumberFormat="1" applyFont="1" applyFill="1" applyBorder="1" applyAlignment="1" applyProtection="1">
      <alignment vertical="center"/>
    </xf>
    <xf numFmtId="0" fontId="1" fillId="0" borderId="8" xfId="1" applyFont="1" applyFill="1" applyBorder="1" applyAlignment="1" applyProtection="1">
      <alignment vertical="center"/>
    </xf>
    <xf numFmtId="20" fontId="4" fillId="5" borderId="3" xfId="1" applyNumberFormat="1" applyFont="1" applyFill="1" applyBorder="1" applyAlignment="1" applyProtection="1">
      <alignment horizontal="center" vertical="center"/>
      <protection locked="0"/>
    </xf>
    <xf numFmtId="0" fontId="4" fillId="5" borderId="3" xfId="1" applyNumberFormat="1" applyFont="1" applyFill="1" applyBorder="1" applyAlignment="1" applyProtection="1">
      <alignment horizontal="center" vertical="center"/>
      <protection locked="0"/>
    </xf>
    <xf numFmtId="0" fontId="23" fillId="4" borderId="0" xfId="1" applyFont="1" applyFill="1" applyBorder="1" applyAlignment="1" applyProtection="1">
      <alignment horizontal="center" vertical="center"/>
      <protection hidden="1"/>
    </xf>
    <xf numFmtId="0" fontId="23" fillId="4" borderId="2" xfId="1" applyFont="1" applyFill="1" applyBorder="1" applyAlignment="1" applyProtection="1">
      <alignment horizontal="center" vertical="center"/>
      <protection hidden="1"/>
    </xf>
    <xf numFmtId="0" fontId="3" fillId="7" borderId="3" xfId="1" applyFont="1" applyFill="1" applyBorder="1" applyAlignment="1" applyProtection="1">
      <alignment horizontal="center" vertical="center"/>
      <protection hidden="1"/>
    </xf>
    <xf numFmtId="0" fontId="3" fillId="7" borderId="17" xfId="1" applyFont="1" applyFill="1" applyBorder="1" applyAlignment="1" applyProtection="1">
      <alignment horizontal="center" vertical="center"/>
      <protection hidden="1"/>
    </xf>
    <xf numFmtId="0" fontId="3" fillId="7" borderId="19" xfId="1" applyFont="1" applyFill="1" applyBorder="1" applyAlignment="1" applyProtection="1">
      <alignment horizontal="center" vertical="center"/>
      <protection hidden="1"/>
    </xf>
    <xf numFmtId="0" fontId="3" fillId="10" borderId="1" xfId="1" applyFont="1" applyFill="1" applyBorder="1" applyAlignment="1" applyProtection="1">
      <alignment horizontal="center" vertical="center"/>
    </xf>
    <xf numFmtId="0" fontId="3" fillId="10" borderId="0" xfId="1" applyFont="1" applyFill="1" applyBorder="1" applyAlignment="1" applyProtection="1">
      <alignment horizontal="center" vertical="center"/>
    </xf>
    <xf numFmtId="0" fontId="3" fillId="10" borderId="2" xfId="1" applyFont="1" applyFill="1" applyBorder="1" applyAlignment="1" applyProtection="1">
      <alignment horizontal="center" vertical="center"/>
    </xf>
    <xf numFmtId="180" fontId="3" fillId="0" borderId="3" xfId="1" applyNumberFormat="1" applyFont="1" applyFill="1" applyBorder="1" applyAlignment="1" applyProtection="1">
      <alignment horizontal="center" vertical="center"/>
      <protection hidden="1"/>
    </xf>
    <xf numFmtId="182" fontId="22" fillId="0" borderId="3" xfId="1" applyNumberFormat="1" applyFont="1" applyFill="1" applyBorder="1" applyAlignment="1" applyProtection="1">
      <alignment horizontal="center" vertical="center"/>
      <protection hidden="1"/>
    </xf>
    <xf numFmtId="191" fontId="22" fillId="0" borderId="17" xfId="1" applyNumberFormat="1" applyFont="1" applyFill="1" applyBorder="1" applyAlignment="1" applyProtection="1">
      <alignment horizontal="center" vertical="center"/>
      <protection hidden="1"/>
    </xf>
    <xf numFmtId="191" fontId="22" fillId="0" borderId="18" xfId="1" applyNumberFormat="1" applyFont="1" applyFill="1" applyBorder="1" applyAlignment="1" applyProtection="1">
      <alignment horizontal="center" vertical="center"/>
      <protection hidden="1"/>
    </xf>
    <xf numFmtId="0" fontId="22" fillId="0" borderId="18" xfId="1" applyNumberFormat="1" applyFont="1" applyFill="1" applyBorder="1" applyAlignment="1" applyProtection="1">
      <alignment horizontal="center" vertical="center"/>
      <protection hidden="1"/>
    </xf>
    <xf numFmtId="0" fontId="22" fillId="0" borderId="19" xfId="1" applyNumberFormat="1" applyFont="1" applyFill="1" applyBorder="1" applyAlignment="1" applyProtection="1">
      <alignment horizontal="center" vertical="center"/>
      <protection hidden="1"/>
    </xf>
    <xf numFmtId="0" fontId="3" fillId="5" borderId="5" xfId="1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5" borderId="6" xfId="1" applyNumberFormat="1" applyFont="1" applyFill="1" applyBorder="1" applyAlignment="1" applyProtection="1">
      <alignment horizontal="center" vertical="center"/>
      <protection locked="0"/>
    </xf>
    <xf numFmtId="0" fontId="3" fillId="7" borderId="6" xfId="1" applyFont="1" applyFill="1" applyBorder="1" applyAlignment="1" applyProtection="1">
      <alignment horizontal="center" vertical="center"/>
      <protection hidden="1"/>
    </xf>
    <xf numFmtId="0" fontId="3" fillId="7" borderId="7" xfId="1" applyFont="1" applyFill="1" applyBorder="1" applyAlignment="1" applyProtection="1">
      <alignment horizontal="center" vertical="center"/>
      <protection hidden="1"/>
    </xf>
    <xf numFmtId="0" fontId="3" fillId="7" borderId="1" xfId="1" applyFont="1" applyFill="1" applyBorder="1" applyAlignment="1" applyProtection="1">
      <alignment horizontal="center" vertical="center"/>
      <protection hidden="1"/>
    </xf>
    <xf numFmtId="0" fontId="3" fillId="7" borderId="2" xfId="1" applyFont="1" applyFill="1" applyBorder="1" applyAlignment="1" applyProtection="1">
      <alignment horizontal="center" vertical="center"/>
      <protection hidden="1"/>
    </xf>
    <xf numFmtId="0" fontId="3" fillId="7" borderId="15" xfId="1" applyFont="1" applyFill="1" applyBorder="1" applyAlignment="1" applyProtection="1">
      <alignment horizontal="center" vertical="center"/>
      <protection hidden="1"/>
    </xf>
    <xf numFmtId="0" fontId="3" fillId="7" borderId="16" xfId="1" applyFont="1" applyFill="1" applyBorder="1" applyAlignment="1" applyProtection="1">
      <alignment horizontal="center" vertical="center"/>
      <protection hidden="1"/>
    </xf>
    <xf numFmtId="0" fontId="3" fillId="7" borderId="5" xfId="1" applyFont="1" applyFill="1" applyBorder="1" applyAlignment="1" applyProtection="1">
      <alignment horizontal="center" vertical="center"/>
      <protection hidden="1"/>
    </xf>
    <xf numFmtId="0" fontId="3" fillId="7" borderId="0" xfId="1" applyFont="1" applyFill="1" applyBorder="1" applyAlignment="1" applyProtection="1">
      <alignment horizontal="center" vertical="center"/>
      <protection hidden="1"/>
    </xf>
    <xf numFmtId="0" fontId="3" fillId="7" borderId="8" xfId="1" applyFont="1" applyFill="1" applyBorder="1" applyAlignment="1" applyProtection="1">
      <alignment horizontal="center" vertical="center"/>
      <protection hidden="1"/>
    </xf>
    <xf numFmtId="0" fontId="0" fillId="0" borderId="18" xfId="0" applyBorder="1" applyAlignment="1" applyProtection="1">
      <alignment horizontal="center" vertical="center"/>
      <protection hidden="1"/>
    </xf>
    <xf numFmtId="0" fontId="0" fillId="0" borderId="19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7" xfId="0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0" fontId="0" fillId="0" borderId="2" xfId="0" applyBorder="1" applyAlignment="1" applyProtection="1">
      <alignment horizontal="center" vertical="center"/>
      <protection hidden="1"/>
    </xf>
    <xf numFmtId="0" fontId="0" fillId="0" borderId="15" xfId="0" applyBorder="1" applyAlignment="1" applyProtection="1">
      <alignment horizontal="center" vertical="center"/>
      <protection hidden="1"/>
    </xf>
    <xf numFmtId="0" fontId="0" fillId="0" borderId="8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horizontal="center"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3" fillId="7" borderId="6" xfId="1" applyFont="1" applyFill="1" applyBorder="1" applyAlignment="1" applyProtection="1">
      <alignment horizontal="center" vertical="center" wrapText="1"/>
      <protection hidden="1"/>
    </xf>
    <xf numFmtId="0" fontId="3" fillId="7" borderId="5" xfId="1" applyFont="1" applyFill="1" applyBorder="1" applyAlignment="1" applyProtection="1">
      <alignment horizontal="center" vertical="center" wrapText="1"/>
      <protection hidden="1"/>
    </xf>
    <xf numFmtId="0" fontId="3" fillId="7" borderId="7" xfId="1" applyFont="1" applyFill="1" applyBorder="1" applyAlignment="1" applyProtection="1">
      <alignment horizontal="center" vertical="center" wrapText="1"/>
      <protection hidden="1"/>
    </xf>
    <xf numFmtId="0" fontId="3" fillId="7" borderId="1" xfId="1" applyFont="1" applyFill="1" applyBorder="1" applyAlignment="1" applyProtection="1">
      <alignment horizontal="center" vertical="center" wrapText="1"/>
      <protection hidden="1"/>
    </xf>
    <xf numFmtId="0" fontId="3" fillId="7" borderId="0" xfId="1" applyFont="1" applyFill="1" applyBorder="1" applyAlignment="1" applyProtection="1">
      <alignment horizontal="center" vertical="center" wrapText="1"/>
      <protection hidden="1"/>
    </xf>
    <xf numFmtId="0" fontId="3" fillId="7" borderId="2" xfId="1" applyFont="1" applyFill="1" applyBorder="1" applyAlignment="1" applyProtection="1">
      <alignment horizontal="center" vertical="center" wrapText="1"/>
      <protection hidden="1"/>
    </xf>
    <xf numFmtId="0" fontId="3" fillId="7" borderId="15" xfId="1" applyFont="1" applyFill="1" applyBorder="1" applyAlignment="1" applyProtection="1">
      <alignment horizontal="center" vertical="center" wrapText="1"/>
      <protection hidden="1"/>
    </xf>
    <xf numFmtId="0" fontId="3" fillId="7" borderId="8" xfId="1" applyFont="1" applyFill="1" applyBorder="1" applyAlignment="1" applyProtection="1">
      <alignment horizontal="center" vertical="center" wrapText="1"/>
      <protection hidden="1"/>
    </xf>
    <xf numFmtId="0" fontId="3" fillId="7" borderId="16" xfId="1" applyFont="1" applyFill="1" applyBorder="1" applyAlignment="1" applyProtection="1">
      <alignment horizontal="center" vertical="center" wrapText="1"/>
      <protection hidden="1"/>
    </xf>
    <xf numFmtId="178" fontId="2" fillId="0" borderId="17" xfId="1" applyNumberFormat="1" applyFont="1" applyFill="1" applyBorder="1" applyAlignment="1" applyProtection="1">
      <alignment horizontal="center" vertical="center"/>
      <protection hidden="1"/>
    </xf>
    <xf numFmtId="178" fontId="2" fillId="0" borderId="19" xfId="1" applyNumberFormat="1" applyFont="1" applyFill="1" applyBorder="1" applyAlignment="1" applyProtection="1">
      <alignment horizontal="center" vertical="center"/>
      <protection hidden="1"/>
    </xf>
    <xf numFmtId="179" fontId="2" fillId="0" borderId="3" xfId="1" applyNumberFormat="1" applyFont="1" applyFill="1" applyBorder="1" applyAlignment="1" applyProtection="1">
      <alignment horizontal="center" vertical="center"/>
      <protection hidden="1"/>
    </xf>
    <xf numFmtId="176" fontId="2" fillId="0" borderId="17" xfId="1" applyNumberFormat="1" applyFont="1" applyFill="1" applyBorder="1" applyAlignment="1" applyProtection="1">
      <alignment horizontal="center" vertical="center"/>
      <protection hidden="1"/>
    </xf>
    <xf numFmtId="176" fontId="2" fillId="0" borderId="18" xfId="1" applyNumberFormat="1" applyFont="1" applyFill="1" applyBorder="1" applyAlignment="1" applyProtection="1">
      <alignment horizontal="center" vertical="center"/>
      <protection hidden="1"/>
    </xf>
    <xf numFmtId="176" fontId="2" fillId="0" borderId="19" xfId="1" applyNumberFormat="1" applyFont="1" applyFill="1" applyBorder="1" applyAlignment="1" applyProtection="1">
      <alignment horizontal="center" vertical="center"/>
      <protection hidden="1"/>
    </xf>
    <xf numFmtId="176" fontId="2" fillId="9" borderId="17" xfId="1" applyNumberFormat="1" applyFont="1" applyFill="1" applyBorder="1" applyAlignment="1" applyProtection="1">
      <alignment horizontal="center" vertical="center"/>
      <protection hidden="1"/>
    </xf>
    <xf numFmtId="176" fontId="2" fillId="9" borderId="18" xfId="1" applyNumberFormat="1" applyFont="1" applyFill="1" applyBorder="1" applyAlignment="1" applyProtection="1">
      <alignment horizontal="center" vertical="center"/>
      <protection hidden="1"/>
    </xf>
    <xf numFmtId="176" fontId="2" fillId="9" borderId="19" xfId="1" applyNumberFormat="1" applyFont="1" applyFill="1" applyBorder="1" applyAlignment="1" applyProtection="1">
      <alignment horizontal="center" vertical="center"/>
      <protection hidden="1"/>
    </xf>
    <xf numFmtId="0" fontId="2" fillId="0" borderId="17" xfId="1" applyFont="1" applyFill="1" applyBorder="1" applyAlignment="1" applyProtection="1">
      <alignment vertical="center"/>
      <protection locked="0"/>
    </xf>
    <xf numFmtId="0" fontId="0" fillId="0" borderId="18" xfId="0" applyBorder="1" applyAlignment="1" applyProtection="1">
      <alignment vertical="center"/>
      <protection locked="0"/>
    </xf>
    <xf numFmtId="0" fontId="0" fillId="0" borderId="19" xfId="0" applyBorder="1" applyAlignment="1" applyProtection="1">
      <alignment vertical="center"/>
      <protection locked="0"/>
    </xf>
    <xf numFmtId="0" fontId="3" fillId="4" borderId="3" xfId="1" applyFont="1" applyFill="1" applyBorder="1" applyAlignment="1" applyProtection="1">
      <alignment horizontal="center" vertical="center" wrapText="1"/>
    </xf>
    <xf numFmtId="176" fontId="2" fillId="0" borderId="0" xfId="1" applyNumberFormat="1" applyFont="1" applyFill="1" applyBorder="1" applyAlignment="1" applyProtection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  <protection locked="0"/>
    </xf>
    <xf numFmtId="0" fontId="11" fillId="0" borderId="0" xfId="1" applyFont="1" applyFill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/>
    </xf>
  </cellXfs>
  <cellStyles count="4">
    <cellStyle name="常规_Sheet1" xfId="1"/>
    <cellStyle name="常规_Sheet2" xfId="2"/>
    <cellStyle name="標準" xfId="0" builtinId="0"/>
    <cellStyle name="標準 2" xfId="3"/>
  </cellStyles>
  <dxfs count="679"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ill>
        <patternFill patternType="none">
          <bgColor indexed="65"/>
        </patternFill>
      </fill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2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condense val="0"/>
        <extend val="0"/>
        <color indexed="8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Radio" checked="Checked" firstButton="1" lockText="1"/>
</file>

<file path=xl/ctrlProps/ctrlProp4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1</xdr:colOff>
      <xdr:row>54</xdr:row>
      <xdr:rowOff>89647</xdr:rowOff>
    </xdr:from>
    <xdr:to>
      <xdr:col>51</xdr:col>
      <xdr:colOff>115172</xdr:colOff>
      <xdr:row>56</xdr:row>
      <xdr:rowOff>93382</xdr:rowOff>
    </xdr:to>
    <xdr:sp macro="" textlink="">
      <xdr:nvSpPr>
        <xdr:cNvPr id="7" name="線吹き出し 1 (枠付き) 6"/>
        <xdr:cNvSpPr/>
      </xdr:nvSpPr>
      <xdr:spPr>
        <a:xfrm>
          <a:off x="11071413" y="13346206"/>
          <a:ext cx="518583" cy="317500"/>
        </a:xfrm>
        <a:prstGeom prst="borderCallout1">
          <a:avLst>
            <a:gd name="adj1" fmla="val 18750"/>
            <a:gd name="adj2" fmla="val -8333"/>
            <a:gd name="adj3" fmla="val 116500"/>
            <a:gd name="adj4" fmla="val -183287"/>
          </a:avLst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日付</a:t>
          </a:r>
        </a:p>
      </xdr:txBody>
    </xdr:sp>
    <xdr:clientData fPrintsWithSheet="0"/>
  </xdr:twoCellAnchor>
  <xdr:twoCellAnchor>
    <xdr:from>
      <xdr:col>49</xdr:col>
      <xdr:colOff>10584</xdr:colOff>
      <xdr:row>57</xdr:row>
      <xdr:rowOff>167465</xdr:rowOff>
    </xdr:from>
    <xdr:to>
      <xdr:col>51</xdr:col>
      <xdr:colOff>125755</xdr:colOff>
      <xdr:row>59</xdr:row>
      <xdr:rowOff>51048</xdr:rowOff>
    </xdr:to>
    <xdr:sp macro="" textlink="">
      <xdr:nvSpPr>
        <xdr:cNvPr id="8" name="線吹き出し 1 (枠付き) 7"/>
        <xdr:cNvSpPr/>
      </xdr:nvSpPr>
      <xdr:spPr>
        <a:xfrm>
          <a:off x="11081996" y="13928289"/>
          <a:ext cx="518583" cy="264583"/>
        </a:xfrm>
        <a:prstGeom prst="borderCallout1">
          <a:avLst>
            <a:gd name="adj1" fmla="val 18750"/>
            <a:gd name="adj2" fmla="val -8333"/>
            <a:gd name="adj3" fmla="val 116500"/>
            <a:gd name="adj4" fmla="val -179205"/>
          </a:avLst>
        </a:prstGeom>
        <a:solidFill>
          <a:srgbClr val="FFFFCC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>
              <a:solidFill>
                <a:sysClr val="windowText" lastClr="000000"/>
              </a:solidFill>
            </a:rPr>
            <a:t>捺印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19050</xdr:colOff>
          <xdr:row>62</xdr:row>
          <xdr:rowOff>114300</xdr:rowOff>
        </xdr:from>
        <xdr:to>
          <xdr:col>19</xdr:col>
          <xdr:colOff>190500</xdr:colOff>
          <xdr:row>64</xdr:row>
          <xdr:rowOff>57150</xdr:rowOff>
        </xdr:to>
        <xdr:sp macro="" textlink="">
          <xdr:nvSpPr>
            <xdr:cNvPr id="3230" name="Button 158" hidden="1">
              <a:extLst>
                <a:ext uri="{63B3BB69-23CF-44E3-9099-C40C66FF867C}">
                  <a14:compatExt spid="_x0000_s3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FF0000"/>
                  </a:solidFill>
                  <a:latin typeface="ＭＳ ゴシック"/>
                  <a:ea typeface="ＭＳ ゴシック"/>
                </a:rPr>
                <a:t>クリア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28575</xdr:colOff>
          <xdr:row>62</xdr:row>
          <xdr:rowOff>114300</xdr:rowOff>
        </xdr:from>
        <xdr:to>
          <xdr:col>25</xdr:col>
          <xdr:colOff>76200</xdr:colOff>
          <xdr:row>64</xdr:row>
          <xdr:rowOff>57150</xdr:rowOff>
        </xdr:to>
        <xdr:sp macro="" textlink="">
          <xdr:nvSpPr>
            <xdr:cNvPr id="3358" name="Button 286" hidden="1">
              <a:extLst>
                <a:ext uri="{63B3BB69-23CF-44E3-9099-C40C66FF867C}">
                  <a14:compatExt spid="_x0000_s33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18288" rIns="36576" bIns="18288" anchor="ctr" upright="1"/>
            <a:lstStyle/>
            <a:p>
              <a:pPr algn="ctr" rtl="0">
                <a:defRPr sz="1000"/>
              </a:pPr>
              <a:r>
                <a:rPr lang="ja-JP" altLang="en-US" sz="1200" b="1" i="0" u="none" strike="noStrike" baseline="0">
                  <a:solidFill>
                    <a:srgbClr val="FF0000"/>
                  </a:solidFill>
                  <a:latin typeface="ＭＳ ゴシック"/>
                  <a:ea typeface="ＭＳ ゴシック"/>
                </a:rPr>
                <a:t>標準時間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9525</xdr:rowOff>
    </xdr:from>
    <xdr:to>
      <xdr:col>20</xdr:col>
      <xdr:colOff>161924</xdr:colOff>
      <xdr:row>2</xdr:row>
      <xdr:rowOff>171450</xdr:rowOff>
    </xdr:to>
    <xdr:sp macro="" textlink="">
      <xdr:nvSpPr>
        <xdr:cNvPr id="4" name="正方形/長方形 3"/>
        <xdr:cNvSpPr/>
      </xdr:nvSpPr>
      <xdr:spPr>
        <a:xfrm>
          <a:off x="3095625" y="314325"/>
          <a:ext cx="1447799" cy="3524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600" b="1">
              <a:solidFill>
                <a:sysClr val="windowText" lastClr="000000"/>
              </a:solidFill>
            </a:rPr>
            <a:t>（客先提出用）</a:t>
          </a:r>
        </a:p>
      </xdr:txBody>
    </xdr:sp>
    <xdr:clientData fPrintsWithSheet="0"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9525</xdr:colOff>
          <xdr:row>6</xdr:row>
          <xdr:rowOff>9525</xdr:rowOff>
        </xdr:from>
        <xdr:to>
          <xdr:col>53</xdr:col>
          <xdr:colOff>161925</xdr:colOff>
          <xdr:row>7</xdr:row>
          <xdr:rowOff>9525</xdr:rowOff>
        </xdr:to>
        <xdr:sp macro="" textlink="">
          <xdr:nvSpPr>
            <xdr:cNvPr id="14337" name="Option Button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固定</a:t>
              </a:r>
            </a:p>
          </xdr:txBody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9525</xdr:colOff>
          <xdr:row>7</xdr:row>
          <xdr:rowOff>38100</xdr:rowOff>
        </xdr:from>
        <xdr:to>
          <xdr:col>47</xdr:col>
          <xdr:colOff>190500</xdr:colOff>
          <xdr:row>7</xdr:row>
          <xdr:rowOff>295275</xdr:rowOff>
        </xdr:to>
        <xdr:sp macro="" textlink="">
          <xdr:nvSpPr>
            <xdr:cNvPr id="14338" name="Option Button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900" b="0" i="0" u="none" strike="noStrike" baseline="0">
                  <a:solidFill>
                    <a:srgbClr val="000000"/>
                  </a:solidFill>
                  <a:latin typeface="MS UI Gothic"/>
                  <a:ea typeface="MS UI Gothic"/>
                </a:rPr>
                <a:t>精算あり</a:t>
              </a:r>
            </a:p>
          </xdr:txBody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78"/>
  <sheetViews>
    <sheetView topLeftCell="A19" zoomScaleSheetLayoutView="100" workbookViewId="0">
      <selection activeCell="F15" sqref="F15"/>
    </sheetView>
  </sheetViews>
  <sheetFormatPr defaultRowHeight="14.25"/>
  <cols>
    <col min="1" max="1" width="11.5" style="5" bestFit="1" customWidth="1"/>
    <col min="2" max="2" width="9" style="5"/>
    <col min="3" max="3" width="12.625" style="5" bestFit="1" customWidth="1"/>
    <col min="4" max="7" width="9" style="5"/>
    <col min="8" max="8" width="14.625" style="18" customWidth="1"/>
    <col min="9" max="9" width="9" style="18"/>
    <col min="10" max="10" width="17.125" style="5" customWidth="1"/>
    <col min="11" max="11" width="9.5" style="5" bestFit="1" customWidth="1"/>
    <col min="12" max="16384" width="9" style="5"/>
  </cols>
  <sheetData>
    <row r="1" spans="1:2">
      <c r="A1" s="8">
        <f>勤務表!AM4</f>
        <v>2016</v>
      </c>
      <c r="B1" s="8"/>
    </row>
    <row r="2" spans="1:2">
      <c r="A2" s="9">
        <f>DATE(A1,1,1)</f>
        <v>42370</v>
      </c>
      <c r="B2" s="8" t="s">
        <v>5</v>
      </c>
    </row>
    <row r="3" spans="1:2">
      <c r="A3" s="9">
        <f>DATE(A1,1,14-WEEKDAY(DATE(A1,1,0),3))</f>
        <v>42380</v>
      </c>
      <c r="B3" s="8" t="s">
        <v>6</v>
      </c>
    </row>
    <row r="4" spans="1:2">
      <c r="A4" s="9">
        <f>DATE(A1,2,11)</f>
        <v>42411</v>
      </c>
      <c r="B4" s="8" t="s">
        <v>7</v>
      </c>
    </row>
    <row r="5" spans="1:2">
      <c r="A5" s="9">
        <f>DATE(A1,3,INT(20.8431+0.242194*(A1-1980)-INT((A1-1980)/4)))</f>
        <v>42449</v>
      </c>
      <c r="B5" s="8" t="s">
        <v>8</v>
      </c>
    </row>
    <row r="6" spans="1:2">
      <c r="A6" s="9">
        <f>DATE(A1,4,29)</f>
        <v>42489</v>
      </c>
      <c r="B6" s="8" t="s">
        <v>9</v>
      </c>
    </row>
    <row r="7" spans="1:2">
      <c r="A7" s="9">
        <f>DATE(A1,5,3)</f>
        <v>42493</v>
      </c>
      <c r="B7" s="8" t="s">
        <v>10</v>
      </c>
    </row>
    <row r="8" spans="1:2">
      <c r="A8" s="9">
        <f>DATE(A1,5,5)</f>
        <v>42495</v>
      </c>
      <c r="B8" s="8" t="s">
        <v>11</v>
      </c>
    </row>
    <row r="9" spans="1:2">
      <c r="A9" s="9">
        <f>DATE(A1,7,18)</f>
        <v>42569</v>
      </c>
      <c r="B9" s="8" t="s">
        <v>12</v>
      </c>
    </row>
    <row r="10" spans="1:2">
      <c r="A10" s="9">
        <f>DATE(A1,9,19)</f>
        <v>42632</v>
      </c>
      <c r="B10" s="8" t="s">
        <v>13</v>
      </c>
    </row>
    <row r="11" spans="1:2">
      <c r="A11" s="9">
        <f>DATE(A1,9,INT(23.2488+0.242194*(A1-1980)-INT((A1-1980)/4)))</f>
        <v>42635</v>
      </c>
      <c r="B11" s="8" t="s">
        <v>14</v>
      </c>
    </row>
    <row r="12" spans="1:2">
      <c r="A12" s="9">
        <f>DATE(A1,10,14-WEEKDAY(DATE(A1,10,0),3))</f>
        <v>42653</v>
      </c>
      <c r="B12" s="8" t="s">
        <v>15</v>
      </c>
    </row>
    <row r="13" spans="1:2">
      <c r="A13" s="9">
        <f>DATE(A1,11,3)</f>
        <v>42677</v>
      </c>
      <c r="B13" s="8" t="s">
        <v>16</v>
      </c>
    </row>
    <row r="14" spans="1:2">
      <c r="A14" s="9">
        <f>DATE(A1,11,23)</f>
        <v>42697</v>
      </c>
      <c r="B14" s="8" t="s">
        <v>17</v>
      </c>
    </row>
    <row r="15" spans="1:2">
      <c r="A15" s="9">
        <f>DATE(A1,12,23)</f>
        <v>42727</v>
      </c>
      <c r="B15" s="8" t="s">
        <v>18</v>
      </c>
    </row>
    <row r="16" spans="1:2">
      <c r="A16" s="9">
        <f>IF(WEEKDAY(DATE(A1,5,3),3)&gt;=5,"－",DATE(A1,5,4))</f>
        <v>42494</v>
      </c>
      <c r="B16" s="8" t="s">
        <v>19</v>
      </c>
    </row>
    <row r="17" spans="1:2">
      <c r="A17" s="9">
        <v>42593</v>
      </c>
      <c r="B17" s="8" t="str">
        <f t="shared" ref="B17:B30" si="0">IF(A17="－","－","振替休日")</f>
        <v>振替休日</v>
      </c>
    </row>
    <row r="18" spans="1:2">
      <c r="A18" s="9" t="str">
        <f t="shared" ref="A18:A30" si="1">IF(WEEKDAY(A3)=1,A3+1,"－")</f>
        <v>－</v>
      </c>
      <c r="B18" s="8" t="str">
        <f t="shared" si="0"/>
        <v>－</v>
      </c>
    </row>
    <row r="19" spans="1:2">
      <c r="A19" s="9" t="str">
        <f t="shared" si="1"/>
        <v>－</v>
      </c>
      <c r="B19" s="8" t="str">
        <f t="shared" si="0"/>
        <v>－</v>
      </c>
    </row>
    <row r="20" spans="1:2">
      <c r="A20" s="9">
        <f t="shared" si="1"/>
        <v>42450</v>
      </c>
      <c r="B20" s="8" t="str">
        <f t="shared" si="0"/>
        <v>振替休日</v>
      </c>
    </row>
    <row r="21" spans="1:2">
      <c r="A21" s="9" t="str">
        <f t="shared" si="1"/>
        <v>－</v>
      </c>
      <c r="B21" s="8" t="str">
        <f t="shared" si="0"/>
        <v>－</v>
      </c>
    </row>
    <row r="22" spans="1:2">
      <c r="A22" s="9" t="str">
        <f t="shared" si="1"/>
        <v>－</v>
      </c>
      <c r="B22" s="8" t="str">
        <f t="shared" si="0"/>
        <v>－</v>
      </c>
    </row>
    <row r="23" spans="1:2">
      <c r="A23" s="9" t="str">
        <f t="shared" si="1"/>
        <v>－</v>
      </c>
      <c r="B23" s="8" t="str">
        <f t="shared" si="0"/>
        <v>－</v>
      </c>
    </row>
    <row r="24" spans="1:2">
      <c r="A24" s="9" t="str">
        <f t="shared" si="1"/>
        <v>－</v>
      </c>
      <c r="B24" s="8" t="str">
        <f t="shared" si="0"/>
        <v>－</v>
      </c>
    </row>
    <row r="25" spans="1:2">
      <c r="A25" s="9" t="str">
        <f t="shared" si="1"/>
        <v>－</v>
      </c>
      <c r="B25" s="8" t="str">
        <f t="shared" si="0"/>
        <v>－</v>
      </c>
    </row>
    <row r="26" spans="1:2">
      <c r="A26" s="9" t="str">
        <f t="shared" si="1"/>
        <v>－</v>
      </c>
      <c r="B26" s="8" t="str">
        <f t="shared" si="0"/>
        <v>－</v>
      </c>
    </row>
    <row r="27" spans="1:2">
      <c r="A27" s="9" t="str">
        <f t="shared" si="1"/>
        <v>－</v>
      </c>
      <c r="B27" s="8" t="str">
        <f t="shared" si="0"/>
        <v>－</v>
      </c>
    </row>
    <row r="28" spans="1:2">
      <c r="A28" s="9" t="str">
        <f t="shared" si="1"/>
        <v>－</v>
      </c>
      <c r="B28" s="8" t="str">
        <f t="shared" si="0"/>
        <v>－</v>
      </c>
    </row>
    <row r="29" spans="1:2">
      <c r="A29" s="9" t="str">
        <f t="shared" si="1"/>
        <v>－</v>
      </c>
      <c r="B29" s="8" t="str">
        <f t="shared" si="0"/>
        <v>－</v>
      </c>
    </row>
    <row r="30" spans="1:2">
      <c r="A30" s="9" t="str">
        <f t="shared" si="1"/>
        <v>－</v>
      </c>
      <c r="B30" s="8" t="str">
        <f t="shared" si="0"/>
        <v>－</v>
      </c>
    </row>
    <row r="33" spans="1:13">
      <c r="A33" s="5" t="s">
        <v>20</v>
      </c>
      <c r="C33" s="5" t="s">
        <v>21</v>
      </c>
      <c r="D33" s="5" t="s">
        <v>22</v>
      </c>
      <c r="E33" s="17" t="s">
        <v>48</v>
      </c>
      <c r="F33" s="4" t="s">
        <v>49</v>
      </c>
      <c r="G33" s="10"/>
      <c r="H33" s="19" t="s">
        <v>52</v>
      </c>
      <c r="I33" s="20" t="s">
        <v>53</v>
      </c>
      <c r="J33" s="21" t="s">
        <v>54</v>
      </c>
    </row>
    <row r="34" spans="1:13">
      <c r="A34" s="5">
        <f>IF(勤務表!A13="",0,IF(WEEKDAY(勤務表!A13)=1,0,IF(WEEKDAY(勤務表!A13)=7,0,IF(COUNTIF(HOLIDAY,勤務表!A13),0,1))))</f>
        <v>1</v>
      </c>
      <c r="C34" s="5">
        <f>IF(勤務表!Y13="",0,HOUR(勤務表!Y13))</f>
        <v>0</v>
      </c>
      <c r="D34" s="5">
        <f>IF(勤務表!Y13="",0,MINUTE(勤務表!Y13))</f>
        <v>0</v>
      </c>
      <c r="E34" s="5">
        <f>IF(勤務表!Y13="",0,HOUR(勤務表!Y13))</f>
        <v>0</v>
      </c>
      <c r="F34" s="4">
        <f>IF(勤務表!Y13="",0,MINUTE(勤務表!Y13))</f>
        <v>0</v>
      </c>
      <c r="G34" s="1"/>
      <c r="H34" s="2">
        <f>TIME(HOUR(勤務表!K13),ROUNDUP(MINUTE(勤務表!K13)/勤務表!$BD$10,0)*勤務表!$BD$10,0)</f>
        <v>0</v>
      </c>
      <c r="I34" s="2">
        <f>TIME(HOUR(勤務表!O13),ROUNDDOWN(MINUTE(勤務表!O13)/勤務表!$BD$10,0)*勤務表!$BD$10,0)</f>
        <v>0</v>
      </c>
      <c r="J34" s="18">
        <f>IF(I34=H34,0,IF(I34&lt;MAX(勤務表!$BD$4,H34),I34+"24:00"-MAX(勤務表!$BD$4,H34),I34-MAX(勤務表!$BD$4,H34)))</f>
        <v>0</v>
      </c>
      <c r="K34" s="59"/>
      <c r="L34" s="22"/>
    </row>
    <row r="35" spans="1:13">
      <c r="A35" s="5">
        <f>IF(勤務表!A14="",0,IF(WEEKDAY(勤務表!A14)=1,0,IF(WEEKDAY(勤務表!A14)=7,0,IF(COUNTIF(HOLIDAY,勤務表!A14),0,1))))</f>
        <v>1</v>
      </c>
      <c r="C35" s="5">
        <f>IF(勤務表!Y14="",0,HOUR(勤務表!Y14))</f>
        <v>0</v>
      </c>
      <c r="D35" s="5">
        <f>IF(勤務表!Y14="",0,MINUTE(勤務表!Y14))</f>
        <v>0</v>
      </c>
      <c r="E35" s="5">
        <f>IF(勤務表!Y14="",0,HOUR(勤務表!Y14))</f>
        <v>0</v>
      </c>
      <c r="F35" s="4">
        <f>IF(勤務表!Y14="",0,MINUTE(勤務表!Y14))</f>
        <v>0</v>
      </c>
      <c r="G35" s="1"/>
      <c r="H35" s="2">
        <f>TIME(HOUR(勤務表!K14),ROUNDUP(MINUTE(勤務表!K14)/勤務表!$BD$10,0)*勤務表!$BD$10,0)</f>
        <v>0</v>
      </c>
      <c r="I35" s="2">
        <f>TIME(HOUR(勤務表!O14),ROUNDDOWN(MINUTE(勤務表!O14)/勤務表!$BD$10,0)*勤務表!$BD$10,0)</f>
        <v>0</v>
      </c>
      <c r="J35" s="18">
        <f>IF(I35=H35,0,IF(I35&lt;MAX(勤務表!$BD$4,H35),I35+"24:00"-MAX(勤務表!$BD$4,H35),I35-MAX(勤務表!$BD$4,H35)))</f>
        <v>0</v>
      </c>
      <c r="K35" s="59"/>
    </row>
    <row r="36" spans="1:13">
      <c r="A36" s="5">
        <f>IF(勤務表!A15="",0,IF(WEEKDAY(勤務表!A15)=1,0,IF(WEEKDAY(勤務表!A15)=7,0,IF(COUNTIF(HOLIDAY,勤務表!A15),0,1))))</f>
        <v>0</v>
      </c>
      <c r="C36" s="5">
        <f>IF(勤務表!Y15="",0,HOUR(勤務表!Y15))</f>
        <v>0</v>
      </c>
      <c r="D36" s="5">
        <f>IF(勤務表!Y15="",0,MINUTE(勤務表!Y15))</f>
        <v>0</v>
      </c>
      <c r="E36" s="5">
        <f>IF(勤務表!Y15="",0,HOUR(勤務表!Y15))</f>
        <v>0</v>
      </c>
      <c r="F36" s="4">
        <f>IF(勤務表!Y15="",0,MINUTE(勤務表!Y15))</f>
        <v>0</v>
      </c>
      <c r="G36" s="4"/>
      <c r="H36" s="2">
        <f>TIME(HOUR(勤務表!K15),ROUNDUP(MINUTE(勤務表!K15)/勤務表!$BD$10,0)*勤務表!$BD$10,0)</f>
        <v>0</v>
      </c>
      <c r="I36" s="2">
        <f>TIME(HOUR(勤務表!O15),ROUNDDOWN(MINUTE(勤務表!O15)/勤務表!$BD$10,0)*勤務表!$BD$10,0)</f>
        <v>0</v>
      </c>
      <c r="J36" s="18">
        <f>IF(I36=H36,0,IF(I36&lt;MAX(勤務表!$BD$4,H36),I36+"24:00"-MAX(勤務表!$BD$4,H36),I36-MAX(勤務表!$BD$4,H36)))</f>
        <v>0</v>
      </c>
      <c r="K36" s="59"/>
      <c r="M36" s="60"/>
    </row>
    <row r="37" spans="1:13">
      <c r="A37" s="5">
        <f>IF(勤務表!A16="",0,IF(WEEKDAY(勤務表!A16)=1,0,IF(WEEKDAY(勤務表!A16)=7,0,IF(COUNTIF(HOLIDAY,勤務表!A16),0,1))))</f>
        <v>0</v>
      </c>
      <c r="C37" s="5">
        <f>IF(勤務表!Y16="",0,HOUR(勤務表!Y16))</f>
        <v>0</v>
      </c>
      <c r="D37" s="5">
        <f>IF(勤務表!Y16="",0,MINUTE(勤務表!Y16))</f>
        <v>0</v>
      </c>
      <c r="E37" s="5">
        <f>IF(勤務表!Y16="",0,HOUR(勤務表!Y16))</f>
        <v>0</v>
      </c>
      <c r="F37" s="4">
        <f>IF(勤務表!Y16="",0,MINUTE(勤務表!Y16))</f>
        <v>0</v>
      </c>
      <c r="G37" s="1"/>
      <c r="H37" s="2">
        <f>TIME(HOUR(勤務表!K16),ROUNDUP(MINUTE(勤務表!K16)/勤務表!$BD$10,0)*勤務表!$BD$10,0)</f>
        <v>0</v>
      </c>
      <c r="I37" s="2">
        <f>TIME(HOUR(勤務表!O16),ROUNDDOWN(MINUTE(勤務表!O16)/勤務表!$BD$10,0)*勤務表!$BD$10,0)</f>
        <v>0</v>
      </c>
      <c r="J37" s="18">
        <f>IF(I37=H37,0,IF(I37&lt;MAX(勤務表!$BD$4,H37),I37+"24:00"-MAX(勤務表!$BD$4,H37),I37-MAX(勤務表!$BD$4,H37)))</f>
        <v>0</v>
      </c>
      <c r="K37" s="59"/>
    </row>
    <row r="38" spans="1:13">
      <c r="A38" s="5">
        <f>IF(勤務表!A17="",0,IF(WEEKDAY(勤務表!A17)=1,0,IF(WEEKDAY(勤務表!A17)=7,0,IF(COUNTIF(HOLIDAY,勤務表!A17),0,1))))</f>
        <v>1</v>
      </c>
      <c r="C38" s="5">
        <f>IF(勤務表!Y17="",0,HOUR(勤務表!Y17))</f>
        <v>0</v>
      </c>
      <c r="D38" s="5">
        <f>IF(勤務表!Y17="",0,MINUTE(勤務表!Y17))</f>
        <v>0</v>
      </c>
      <c r="E38" s="5">
        <f>IF(勤務表!Y17="",0,HOUR(勤務表!Y17))</f>
        <v>0</v>
      </c>
      <c r="F38" s="4">
        <f>IF(勤務表!Y17="",0,MINUTE(勤務表!Y17))</f>
        <v>0</v>
      </c>
      <c r="H38" s="2">
        <f>TIME(HOUR(勤務表!K17),ROUNDUP(MINUTE(勤務表!K17)/勤務表!$BD$10,0)*勤務表!$BD$10,0)</f>
        <v>0</v>
      </c>
      <c r="I38" s="2">
        <f>TIME(HOUR(勤務表!O17),ROUNDDOWN(MINUTE(勤務表!O17)/勤務表!$BD$10,0)*勤務表!$BD$10,0)</f>
        <v>0</v>
      </c>
      <c r="J38" s="18">
        <f>IF(I38=H38,0,IF(I38&lt;MAX(勤務表!$BD$4,H38),I38+"24:00"-MAX(勤務表!$BD$4,H38),I38-MAX(勤務表!$BD$4,H38)))</f>
        <v>0</v>
      </c>
      <c r="K38" s="59"/>
    </row>
    <row r="39" spans="1:13">
      <c r="A39" s="5">
        <f>IF(勤務表!A18="",0,IF(WEEKDAY(勤務表!A18)=1,0,IF(WEEKDAY(勤務表!A18)=7,0,IF(COUNTIF(HOLIDAY,勤務表!A18),0,1))))</f>
        <v>1</v>
      </c>
      <c r="C39" s="5">
        <f>IF(勤務表!Y18="",0,HOUR(勤務表!Y18))</f>
        <v>0</v>
      </c>
      <c r="D39" s="5">
        <f>IF(勤務表!Y18="",0,MINUTE(勤務表!Y18))</f>
        <v>0</v>
      </c>
      <c r="E39" s="5">
        <f>IF(勤務表!Y18="",0,HOUR(勤務表!Y18))</f>
        <v>0</v>
      </c>
      <c r="F39" s="4">
        <f>IF(勤務表!Y18="",0,MINUTE(勤務表!Y18))</f>
        <v>0</v>
      </c>
      <c r="H39" s="2">
        <f>TIME(HOUR(勤務表!K18),ROUNDUP(MINUTE(勤務表!K18)/勤務表!$BD$10,0)*勤務表!$BD$10,0)</f>
        <v>0</v>
      </c>
      <c r="I39" s="2">
        <f>TIME(HOUR(勤務表!O18),ROUNDDOWN(MINUTE(勤務表!O18)/勤務表!$BD$10,0)*勤務表!$BD$10,0)</f>
        <v>0</v>
      </c>
      <c r="J39" s="18">
        <f>IF(I39=H39,0,IF(I39&lt;MAX(勤務表!$BD$4,H39),I39+"24:00"-MAX(勤務表!$BD$4,H39),I39-MAX(勤務表!$BD$4,H39)))</f>
        <v>0</v>
      </c>
      <c r="K39" s="59"/>
    </row>
    <row r="40" spans="1:13">
      <c r="A40" s="5">
        <f>IF(勤務表!A19="",0,IF(WEEKDAY(勤務表!A19)=1,0,IF(WEEKDAY(勤務表!A19)=7,0,IF(COUNTIF(HOLIDAY,勤務表!A19),0,1))))</f>
        <v>1</v>
      </c>
      <c r="C40" s="5">
        <f>IF(勤務表!Y19="",0,HOUR(勤務表!Y19))</f>
        <v>0</v>
      </c>
      <c r="D40" s="5">
        <f>IF(勤務表!Y19="",0,MINUTE(勤務表!Y19))</f>
        <v>0</v>
      </c>
      <c r="E40" s="5">
        <f>IF(勤務表!Y19="",0,HOUR(勤務表!Y19))</f>
        <v>0</v>
      </c>
      <c r="F40" s="4">
        <f>IF(勤務表!Y19="",0,MINUTE(勤務表!Y19))</f>
        <v>0</v>
      </c>
      <c r="H40" s="2">
        <f>TIME(HOUR(勤務表!K19),ROUNDUP(MINUTE(勤務表!K19)/勤務表!$BD$10,0)*勤務表!$BD$10,0)</f>
        <v>0</v>
      </c>
      <c r="I40" s="2">
        <f>TIME(HOUR(勤務表!O19),ROUNDDOWN(MINUTE(勤務表!O19)/勤務表!$BD$10,0)*勤務表!$BD$10,0)</f>
        <v>0</v>
      </c>
      <c r="J40" s="18">
        <f>IF(I40=H40,0,IF(I40&lt;MAX(勤務表!$BD$4,H40),I40+"24:00"-MAX(勤務表!$BD$4,H40),I40-MAX(勤務表!$BD$4,H40)))</f>
        <v>0</v>
      </c>
      <c r="K40" s="59"/>
    </row>
    <row r="41" spans="1:13">
      <c r="A41" s="5">
        <f>IF(勤務表!A20="",0,IF(WEEKDAY(勤務表!A20)=1,0,IF(WEEKDAY(勤務表!A20)=7,0,IF(COUNTIF(HOLIDAY,勤務表!A20),0,1))))</f>
        <v>1</v>
      </c>
      <c r="C41" s="5">
        <f>IF(勤務表!Y20="",0,HOUR(勤務表!Y20))</f>
        <v>0</v>
      </c>
      <c r="D41" s="5">
        <f>IF(勤務表!Y20="",0,MINUTE(勤務表!Y20))</f>
        <v>0</v>
      </c>
      <c r="E41" s="5">
        <f>IF(勤務表!Y20="",0,HOUR(勤務表!Y20))</f>
        <v>0</v>
      </c>
      <c r="F41" s="4">
        <f>IF(勤務表!Y20="",0,MINUTE(勤務表!Y20))</f>
        <v>0</v>
      </c>
      <c r="H41" s="2">
        <f>TIME(HOUR(勤務表!K20),ROUNDUP(MINUTE(勤務表!K20)/勤務表!$BD$10,0)*勤務表!$BD$10,0)</f>
        <v>0</v>
      </c>
      <c r="I41" s="2">
        <f>TIME(HOUR(勤務表!O20),ROUNDDOWN(MINUTE(勤務表!O20)/勤務表!$BD$10,0)*勤務表!$BD$10,0)</f>
        <v>0</v>
      </c>
      <c r="J41" s="18">
        <f>IF(I41=H41,0,IF(I41&lt;MAX(勤務表!$BD$4,H41),I41+"24:00"-MAX(勤務表!$BD$4,H41),I41-MAX(勤務表!$BD$4,H41)))</f>
        <v>0</v>
      </c>
      <c r="K41" s="59"/>
    </row>
    <row r="42" spans="1:13">
      <c r="A42" s="5">
        <f>IF(勤務表!A21="",0,IF(WEEKDAY(勤務表!A21)=1,0,IF(WEEKDAY(勤務表!A21)=7,0,IF(COUNTIF(HOLIDAY,勤務表!A21),0,1))))</f>
        <v>1</v>
      </c>
      <c r="C42" s="5">
        <f>IF(勤務表!Y21="",0,HOUR(勤務表!Y21))</f>
        <v>0</v>
      </c>
      <c r="D42" s="5">
        <f>IF(勤務表!Y21="",0,MINUTE(勤務表!Y21))</f>
        <v>0</v>
      </c>
      <c r="E42" s="5">
        <f>IF(勤務表!Y21="",0,HOUR(勤務表!Y21))</f>
        <v>0</v>
      </c>
      <c r="F42" s="4">
        <f>IF(勤務表!Y21="",0,MINUTE(勤務表!Y21))</f>
        <v>0</v>
      </c>
      <c r="H42" s="2">
        <f>TIME(HOUR(勤務表!K21),ROUNDUP(MINUTE(勤務表!K21)/勤務表!$BD$10,0)*勤務表!$BD$10,0)</f>
        <v>0</v>
      </c>
      <c r="I42" s="2">
        <f>TIME(HOUR(勤務表!O21),ROUNDDOWN(MINUTE(勤務表!O21)/勤務表!$BD$10,0)*勤務表!$BD$10,0)</f>
        <v>0</v>
      </c>
      <c r="J42" s="18">
        <f>IF(I42=H42,0,IF(I42&lt;MAX(勤務表!$BD$4,H42),I42+"24:00"-MAX(勤務表!$BD$4,H42),I42-MAX(勤務表!$BD$4,H42)))</f>
        <v>0</v>
      </c>
      <c r="K42" s="59"/>
    </row>
    <row r="43" spans="1:13">
      <c r="A43" s="5">
        <f>IF(勤務表!A22="",0,IF(WEEKDAY(勤務表!A22)=1,0,IF(WEEKDAY(勤務表!A22)=7,0,IF(COUNTIF(HOLIDAY,勤務表!A22),0,1))))</f>
        <v>0</v>
      </c>
      <c r="C43" s="5">
        <f>IF(勤務表!Y22="",0,HOUR(勤務表!Y22))</f>
        <v>0</v>
      </c>
      <c r="D43" s="5">
        <f>IF(勤務表!Y22="",0,MINUTE(勤務表!Y22))</f>
        <v>0</v>
      </c>
      <c r="E43" s="5">
        <f>IF(勤務表!Y22="",0,HOUR(勤務表!Y22))</f>
        <v>0</v>
      </c>
      <c r="F43" s="4">
        <f>IF(勤務表!Y22="",0,MINUTE(勤務表!Y22))</f>
        <v>0</v>
      </c>
      <c r="H43" s="2">
        <f>TIME(HOUR(勤務表!K22),ROUNDUP(MINUTE(勤務表!K22)/勤務表!$BD$10,0)*勤務表!$BD$10,0)</f>
        <v>0</v>
      </c>
      <c r="I43" s="2">
        <f>TIME(HOUR(勤務表!O22),ROUNDDOWN(MINUTE(勤務表!O22)/勤務表!$BD$10,0)*勤務表!$BD$10,0)</f>
        <v>0</v>
      </c>
      <c r="J43" s="18">
        <f>IF(I43=H43,0,IF(I43&lt;MAX(勤務表!$BD$4,H43),I43+"24:00"-MAX(勤務表!$BD$4,H43),I43-MAX(勤務表!$BD$4,H43)))</f>
        <v>0</v>
      </c>
      <c r="K43" s="59"/>
    </row>
    <row r="44" spans="1:13">
      <c r="A44" s="5">
        <f>IF(勤務表!A23="",0,IF(WEEKDAY(勤務表!A23)=1,0,IF(WEEKDAY(勤務表!A23)=7,0,IF(COUNTIF(HOLIDAY,勤務表!A23),0,1))))</f>
        <v>0</v>
      </c>
      <c r="C44" s="5">
        <f>IF(勤務表!Y23="",0,HOUR(勤務表!Y23))</f>
        <v>0</v>
      </c>
      <c r="D44" s="5">
        <f>IF(勤務表!Y23="",0,MINUTE(勤務表!Y23))</f>
        <v>0</v>
      </c>
      <c r="E44" s="5">
        <f>IF(勤務表!Y23="",0,HOUR(勤務表!Y23))</f>
        <v>0</v>
      </c>
      <c r="F44" s="4">
        <f>IF(勤務表!Y23="",0,MINUTE(勤務表!Y23))</f>
        <v>0</v>
      </c>
      <c r="H44" s="2">
        <f>TIME(HOUR(勤務表!K23),ROUNDUP(MINUTE(勤務表!K23)/勤務表!$BD$10,0)*勤務表!$BD$10,0)</f>
        <v>0</v>
      </c>
      <c r="I44" s="2">
        <f>TIME(HOUR(勤務表!O23),ROUNDDOWN(MINUTE(勤務表!O23)/勤務表!$BD$10,0)*勤務表!$BD$10,0)</f>
        <v>0</v>
      </c>
      <c r="J44" s="18">
        <f>IF(I44=H44,0,IF(I44&lt;MAX(勤務表!$BD$4,H44),I44+"24:00"-MAX(勤務表!$BD$4,H44),I44-MAX(勤務表!$BD$4,H44)))</f>
        <v>0</v>
      </c>
      <c r="K44" s="59"/>
    </row>
    <row r="45" spans="1:13">
      <c r="A45" s="5">
        <f>IF(勤務表!A24="",0,IF(WEEKDAY(勤務表!A24)=1,0,IF(WEEKDAY(勤務表!A24)=7,0,IF(COUNTIF(HOLIDAY,勤務表!A24),0,1))))</f>
        <v>1</v>
      </c>
      <c r="C45" s="5">
        <f>IF(勤務表!Y24="",0,HOUR(勤務表!Y24))</f>
        <v>0</v>
      </c>
      <c r="D45" s="5">
        <f>IF(勤務表!Y24="",0,MINUTE(勤務表!Y24))</f>
        <v>0</v>
      </c>
      <c r="E45" s="5">
        <f>IF(勤務表!Y24="",0,HOUR(勤務表!Y24))</f>
        <v>0</v>
      </c>
      <c r="F45" s="4">
        <f>IF(勤務表!Y24="",0,MINUTE(勤務表!Y24))</f>
        <v>0</v>
      </c>
      <c r="H45" s="2">
        <f>TIME(HOUR(勤務表!K24),ROUNDUP(MINUTE(勤務表!K24)/勤務表!$BD$10,0)*勤務表!$BD$10,0)</f>
        <v>0</v>
      </c>
      <c r="I45" s="2">
        <f>TIME(HOUR(勤務表!O24),ROUNDDOWN(MINUTE(勤務表!O24)/勤務表!$BD$10,0)*勤務表!$BD$10,0)</f>
        <v>0</v>
      </c>
      <c r="J45" s="18">
        <f>IF(I45=H45,0,IF(I45&lt;MAX(勤務表!$BD$4,H45),I45+"24:00"-MAX(勤務表!$BD$4,H45),I45-MAX(勤務表!$BD$4,H45)))</f>
        <v>0</v>
      </c>
      <c r="K45" s="59"/>
    </row>
    <row r="46" spans="1:13">
      <c r="A46" s="5">
        <f>IF(勤務表!A25="",0,IF(WEEKDAY(勤務表!A25)=1,0,IF(WEEKDAY(勤務表!A25)=7,0,IF(COUNTIF(HOLIDAY,勤務表!A25),0,1))))</f>
        <v>1</v>
      </c>
      <c r="C46" s="5">
        <f>IF(勤務表!Y25="",0,HOUR(勤務表!Y25))</f>
        <v>0</v>
      </c>
      <c r="D46" s="5">
        <f>IF(勤務表!Y25="",0,MINUTE(勤務表!Y25))</f>
        <v>0</v>
      </c>
      <c r="E46" s="5">
        <f>IF(勤務表!Y25="",0,HOUR(勤務表!Y25))</f>
        <v>0</v>
      </c>
      <c r="F46" s="4">
        <f>IF(勤務表!Y25="",0,MINUTE(勤務表!Y25))</f>
        <v>0</v>
      </c>
      <c r="H46" s="2">
        <f>TIME(HOUR(勤務表!K25),ROUNDUP(MINUTE(勤務表!K25)/勤務表!$BD$10,0)*勤務表!$BD$10,0)</f>
        <v>0</v>
      </c>
      <c r="I46" s="2">
        <f>TIME(HOUR(勤務表!O25),ROUNDDOWN(MINUTE(勤務表!O25)/勤務表!$BD$10,0)*勤務表!$BD$10,0)</f>
        <v>0</v>
      </c>
      <c r="J46" s="18">
        <f>IF(I46=H46,0,IF(I46&lt;MAX(勤務表!$BD$4,H46),I46+"24:00"-MAX(勤務表!$BD$4,H46),I46-MAX(勤務表!$BD$4,H46)))</f>
        <v>0</v>
      </c>
      <c r="K46" s="59"/>
    </row>
    <row r="47" spans="1:13">
      <c r="A47" s="5">
        <f>IF(勤務表!A26="",0,IF(WEEKDAY(勤務表!A26)=1,0,IF(WEEKDAY(勤務表!A26)=7,0,IF(COUNTIF(HOLIDAY,勤務表!A26),0,1))))</f>
        <v>1</v>
      </c>
      <c r="C47" s="5">
        <f>IF(勤務表!Y26="",0,HOUR(勤務表!Y26))</f>
        <v>0</v>
      </c>
      <c r="D47" s="5">
        <f>IF(勤務表!Y26="",0,MINUTE(勤務表!Y26))</f>
        <v>0</v>
      </c>
      <c r="E47" s="5">
        <f>IF(勤務表!Y26="",0,HOUR(勤務表!Y26))</f>
        <v>0</v>
      </c>
      <c r="F47" s="4">
        <f>IF(勤務表!Y26="",0,MINUTE(勤務表!Y26))</f>
        <v>0</v>
      </c>
      <c r="H47" s="2">
        <f>TIME(HOUR(勤務表!K26),ROUNDUP(MINUTE(勤務表!K26)/勤務表!$BD$10,0)*勤務表!$BD$10,0)</f>
        <v>0</v>
      </c>
      <c r="I47" s="2">
        <f>TIME(HOUR(勤務表!O26),ROUNDDOWN(MINUTE(勤務表!O26)/勤務表!$BD$10,0)*勤務表!$BD$10,0)</f>
        <v>0</v>
      </c>
      <c r="J47" s="18">
        <f>IF(I47=H47,0,IF(I47&lt;MAX(勤務表!$BD$4,H47),I47+"24:00"-MAX(勤務表!$BD$4,H47),I47-MAX(勤務表!$BD$4,H47)))</f>
        <v>0</v>
      </c>
      <c r="K47" s="59"/>
    </row>
    <row r="48" spans="1:13">
      <c r="A48" s="5">
        <f>IF(勤務表!A27="",0,IF(WEEKDAY(勤務表!A27)=1,0,IF(WEEKDAY(勤務表!A27)=7,0,IF(COUNTIF(HOLIDAY,勤務表!A27),0,1))))</f>
        <v>1</v>
      </c>
      <c r="C48" s="5">
        <f>IF(勤務表!Y27="",0,HOUR(勤務表!Y27))</f>
        <v>0</v>
      </c>
      <c r="D48" s="5">
        <f>IF(勤務表!Y27="",0,MINUTE(勤務表!Y27))</f>
        <v>0</v>
      </c>
      <c r="E48" s="5">
        <f>IF(勤務表!Y27="",0,HOUR(勤務表!Y27))</f>
        <v>0</v>
      </c>
      <c r="F48" s="4">
        <f>IF(勤務表!Y27="",0,MINUTE(勤務表!Y27))</f>
        <v>0</v>
      </c>
      <c r="H48" s="2">
        <f>TIME(HOUR(勤務表!K27),ROUNDUP(MINUTE(勤務表!K27)/勤務表!$BD$10,0)*勤務表!$BD$10,0)</f>
        <v>0</v>
      </c>
      <c r="I48" s="2">
        <f>TIME(HOUR(勤務表!O27),ROUNDDOWN(MINUTE(勤務表!O27)/勤務表!$BD$10,0)*勤務表!$BD$10,0)</f>
        <v>0</v>
      </c>
      <c r="J48" s="18">
        <f>IF(I48=H48,0,IF(I48&lt;MAX(勤務表!$BD$4,H48),I48+"24:00"-MAX(勤務表!$BD$4,H48),I48-MAX(勤務表!$BD$4,H48)))</f>
        <v>0</v>
      </c>
      <c r="K48" s="59"/>
    </row>
    <row r="49" spans="1:11">
      <c r="A49" s="5">
        <f>IF(勤務表!A28="",0,IF(WEEKDAY(勤務表!A28)=1,0,IF(WEEKDAY(勤務表!A28)=7,0,IF(COUNTIF(HOLIDAY,勤務表!A28),0,1))))</f>
        <v>1</v>
      </c>
      <c r="C49" s="5">
        <f>IF(勤務表!Y28="",0,HOUR(勤務表!Y28))</f>
        <v>0</v>
      </c>
      <c r="D49" s="5">
        <f>IF(勤務表!Y28="",0,MINUTE(勤務表!Y28))</f>
        <v>0</v>
      </c>
      <c r="E49" s="5">
        <f>IF(勤務表!Y28="",0,HOUR(勤務表!Y28))</f>
        <v>0</v>
      </c>
      <c r="F49" s="4">
        <f>IF(勤務表!Y28="",0,MINUTE(勤務表!Y28))</f>
        <v>0</v>
      </c>
      <c r="H49" s="2">
        <f>TIME(HOUR(勤務表!K28),ROUNDUP(MINUTE(勤務表!K28)/勤務表!$BD$10,0)*勤務表!$BD$10,0)</f>
        <v>0</v>
      </c>
      <c r="I49" s="2">
        <f>TIME(HOUR(勤務表!O28),ROUNDDOWN(MINUTE(勤務表!O28)/勤務表!$BD$10,0)*勤務表!$BD$10,0)</f>
        <v>0</v>
      </c>
      <c r="J49" s="18">
        <f>IF(I49=H49,0,IF(I49&lt;MAX(勤務表!$BD$4,H49),I49+"24:00"-MAX(勤務表!$BD$4,H49),I49-MAX(勤務表!$BD$4,H49)))</f>
        <v>0</v>
      </c>
      <c r="K49" s="59"/>
    </row>
    <row r="50" spans="1:11">
      <c r="A50" s="5">
        <f>IF(勤務表!A29="",0,IF(WEEKDAY(勤務表!A29)=1,0,IF(WEEKDAY(勤務表!A29)=7,0,IF(COUNTIF(HOLIDAY,勤務表!A29),0,1))))</f>
        <v>0</v>
      </c>
      <c r="C50" s="5">
        <f>IF(勤務表!Y29="",0,HOUR(勤務表!Y29))</f>
        <v>0</v>
      </c>
      <c r="D50" s="5">
        <f>IF(勤務表!Y29="",0,MINUTE(勤務表!Y29))</f>
        <v>0</v>
      </c>
      <c r="E50" s="5">
        <f>IF(勤務表!Y29="",0,HOUR(勤務表!Y29))</f>
        <v>0</v>
      </c>
      <c r="F50" s="4">
        <f>IF(勤務表!Y29="",0,MINUTE(勤務表!Y29))</f>
        <v>0</v>
      </c>
      <c r="H50" s="2">
        <f>TIME(HOUR(勤務表!K29),ROUNDUP(MINUTE(勤務表!K29)/勤務表!$BD$10,0)*勤務表!$BD$10,0)</f>
        <v>0</v>
      </c>
      <c r="I50" s="2">
        <f>TIME(HOUR(勤務表!O29),ROUNDDOWN(MINUTE(勤務表!O29)/勤務表!$BD$10,0)*勤務表!$BD$10,0)</f>
        <v>0</v>
      </c>
      <c r="J50" s="18">
        <f>IF(I50=H50,0,IF(I50&lt;MAX(勤務表!$BD$4,H50),I50+"24:00"-MAX(勤務表!$BD$4,H50),I50-MAX(勤務表!$BD$4,H50)))</f>
        <v>0</v>
      </c>
      <c r="K50" s="59"/>
    </row>
    <row r="51" spans="1:11">
      <c r="A51" s="5">
        <f>IF(勤務表!A30="",0,IF(WEEKDAY(勤務表!A30)=1,0,IF(WEEKDAY(勤務表!A30)=7,0,IF(COUNTIF(HOLIDAY,勤務表!A30),0,1))))</f>
        <v>0</v>
      </c>
      <c r="C51" s="5">
        <f>IF(勤務表!Y30="",0,HOUR(勤務表!Y30))</f>
        <v>0</v>
      </c>
      <c r="D51" s="5">
        <f>IF(勤務表!Y30="",0,MINUTE(勤務表!Y30))</f>
        <v>0</v>
      </c>
      <c r="E51" s="5">
        <f>IF(勤務表!Y30="",0,HOUR(勤務表!Y30))</f>
        <v>0</v>
      </c>
      <c r="F51" s="4">
        <f>IF(勤務表!Y30="",0,MINUTE(勤務表!Y30))</f>
        <v>0</v>
      </c>
      <c r="H51" s="2">
        <f>TIME(HOUR(勤務表!K30),ROUNDUP(MINUTE(勤務表!K30)/勤務表!$BD$10,0)*勤務表!$BD$10,0)</f>
        <v>0</v>
      </c>
      <c r="I51" s="2">
        <f>TIME(HOUR(勤務表!O30),ROUNDDOWN(MINUTE(勤務表!O30)/勤務表!$BD$10,0)*勤務表!$BD$10,0)</f>
        <v>0</v>
      </c>
      <c r="J51" s="18">
        <f>IF(I51=H51,0,IF(I51&lt;MAX(勤務表!$BD$4,H51),I51+"24:00"-MAX(勤務表!$BD$4,H51),I51-MAX(勤務表!$BD$4,H51)))</f>
        <v>0</v>
      </c>
      <c r="K51" s="59"/>
    </row>
    <row r="52" spans="1:11">
      <c r="A52" s="5">
        <f>IF(勤務表!A31="",0,IF(WEEKDAY(勤務表!A31)=1,0,IF(WEEKDAY(勤務表!A31)=7,0,IF(COUNTIF(HOLIDAY,勤務表!A31),0,1))))</f>
        <v>1</v>
      </c>
      <c r="C52" s="5">
        <f>IF(勤務表!Y31="",0,HOUR(勤務表!Y31))</f>
        <v>0</v>
      </c>
      <c r="D52" s="5">
        <f>IF(勤務表!Y31="",0,MINUTE(勤務表!Y31))</f>
        <v>0</v>
      </c>
      <c r="E52" s="5">
        <f>IF(勤務表!Y31="",0,HOUR(勤務表!Y31))</f>
        <v>0</v>
      </c>
      <c r="F52" s="4">
        <f>IF(勤務表!Y31="",0,MINUTE(勤務表!Y31))</f>
        <v>0</v>
      </c>
      <c r="H52" s="2">
        <f>TIME(HOUR(勤務表!K31),ROUNDUP(MINUTE(勤務表!K31)/勤務表!$BD$10,0)*勤務表!$BD$10,0)</f>
        <v>0</v>
      </c>
      <c r="I52" s="2">
        <f>TIME(HOUR(勤務表!O31),ROUNDDOWN(MINUTE(勤務表!O31)/勤務表!$BD$10,0)*勤務表!$BD$10,0)</f>
        <v>0</v>
      </c>
      <c r="J52" s="18">
        <f>IF(I52=H52,0,IF(I52&lt;MAX(勤務表!$BD$4,H52),I52+"24:00"-MAX(勤務表!$BD$4,H52),I52-MAX(勤務表!$BD$4,H52)))</f>
        <v>0</v>
      </c>
      <c r="K52" s="59"/>
    </row>
    <row r="53" spans="1:11">
      <c r="A53" s="5">
        <f>IF(勤務表!A32="",0,IF(WEEKDAY(勤務表!A32)=1,0,IF(WEEKDAY(勤務表!A32)=7,0,IF(COUNTIF(HOLIDAY,勤務表!A32),0,1))))</f>
        <v>1</v>
      </c>
      <c r="C53" s="5">
        <f>IF(勤務表!Y32="",0,HOUR(勤務表!Y32))</f>
        <v>7</v>
      </c>
      <c r="D53" s="5">
        <f>IF(勤務表!Y32="",0,MINUTE(勤務表!Y32))</f>
        <v>45</v>
      </c>
      <c r="E53" s="5">
        <f>IF(勤務表!Y32="",0,HOUR(勤務表!Y32))</f>
        <v>7</v>
      </c>
      <c r="F53" s="4">
        <f>IF(勤務表!Y32="",0,MINUTE(勤務表!Y32))</f>
        <v>45</v>
      </c>
      <c r="H53" s="2">
        <f>TIME(HOUR(勤務表!K32),ROUNDUP(MINUTE(勤務表!K32)/勤務表!$BD$10,0)*勤務表!$BD$10,0)</f>
        <v>0.41666666666666669</v>
      </c>
      <c r="I53" s="2">
        <f>TIME(HOUR(勤務表!O32),ROUNDDOWN(MINUTE(勤務表!O32)/勤務表!$BD$10,0)*勤務表!$BD$10,0)</f>
        <v>0.77083333333333337</v>
      </c>
      <c r="J53" s="18">
        <f>IF(I53=H53,0,IF(I53&lt;MAX(勤務表!$BD$4,H53),I53+"24:00"-MAX(勤務表!$BD$4,H53),I53-MAX(勤務表!$BD$4,H53)))</f>
        <v>0.35416666666666669</v>
      </c>
      <c r="K53" s="59"/>
    </row>
    <row r="54" spans="1:11">
      <c r="A54" s="5">
        <f>IF(勤務表!A33="",0,IF(WEEKDAY(勤務表!A33)=1,0,IF(WEEKDAY(勤務表!A33)=7,0,IF(COUNTIF(HOLIDAY,勤務表!A33),0,1))))</f>
        <v>1</v>
      </c>
      <c r="C54" s="5">
        <f>IF(勤務表!Y33="",0,HOUR(勤務表!Y33))</f>
        <v>8</v>
      </c>
      <c r="D54" s="5">
        <f>IF(勤務表!Y33="",0,MINUTE(勤務表!Y33))</f>
        <v>45</v>
      </c>
      <c r="E54" s="5">
        <f>IF(勤務表!Y33="",0,HOUR(勤務表!Y33))</f>
        <v>8</v>
      </c>
      <c r="F54" s="4">
        <f>IF(勤務表!Y33="",0,MINUTE(勤務表!Y33))</f>
        <v>45</v>
      </c>
      <c r="H54" s="2">
        <f>TIME(HOUR(勤務表!K33),ROUNDUP(MINUTE(勤務表!K33)/勤務表!$BD$10,0)*勤務表!$BD$10,0)</f>
        <v>0.375</v>
      </c>
      <c r="I54" s="2">
        <f>TIME(HOUR(勤務表!O33),ROUNDDOWN(MINUTE(勤務表!O33)/勤務表!$BD$10,0)*勤務表!$BD$10,0)</f>
        <v>0.77083333333333337</v>
      </c>
      <c r="J54" s="18">
        <f>IF(I54=H54,0,IF(I54&lt;MAX(勤務表!$BD$4,H54),I54+"24:00"-MAX(勤務表!$BD$4,H54),I54-MAX(勤務表!$BD$4,H54)))</f>
        <v>0.39583333333333337</v>
      </c>
      <c r="K54" s="59"/>
    </row>
    <row r="55" spans="1:11">
      <c r="A55" s="5">
        <f>IF(勤務表!A34="",0,IF(WEEKDAY(勤務表!A34)=1,0,IF(WEEKDAY(勤務表!A34)=7,0,IF(COUNTIF(HOLIDAY,勤務表!A34),0,1))))</f>
        <v>1</v>
      </c>
      <c r="C55" s="5">
        <f>IF(勤務表!Y34="",0,HOUR(勤務表!Y34))</f>
        <v>9</v>
      </c>
      <c r="D55" s="5">
        <f>IF(勤務表!Y34="",0,MINUTE(勤務表!Y34))</f>
        <v>15</v>
      </c>
      <c r="E55" s="5">
        <f>IF(勤務表!Y34="",0,HOUR(勤務表!Y34))</f>
        <v>9</v>
      </c>
      <c r="F55" s="4">
        <f>IF(勤務表!Y34="",0,MINUTE(勤務表!Y34))</f>
        <v>15</v>
      </c>
      <c r="H55" s="2">
        <f>TIME(HOUR(勤務表!K34),ROUNDUP(MINUTE(勤務表!K34)/勤務表!$BD$10,0)*勤務表!$BD$10,0)</f>
        <v>0.375</v>
      </c>
      <c r="I55" s="2">
        <f>TIME(HOUR(勤務表!O34),ROUNDDOWN(MINUTE(勤務表!O34)/勤務表!$BD$10,0)*勤務表!$BD$10,0)</f>
        <v>0.79166666666666663</v>
      </c>
      <c r="J55" s="18">
        <f>IF(I55=H55,0,IF(I55&lt;MAX(勤務表!$BD$4,H55),I55+"24:00"-MAX(勤務表!$BD$4,H55),I55-MAX(勤務表!$BD$4,H55)))</f>
        <v>0.41666666666666663</v>
      </c>
      <c r="K55" s="59"/>
    </row>
    <row r="56" spans="1:11">
      <c r="A56" s="5">
        <f>IF(勤務表!A35="",0,IF(WEEKDAY(勤務表!A35)=1,0,IF(WEEKDAY(勤務表!A35)=7,0,IF(COUNTIF(HOLIDAY,勤務表!A35),0,1))))</f>
        <v>0</v>
      </c>
      <c r="C56" s="5">
        <f>IF(勤務表!Y35="",0,HOUR(勤務表!Y35))</f>
        <v>0</v>
      </c>
      <c r="D56" s="5">
        <f>IF(勤務表!Y35="",0,MINUTE(勤務表!Y35))</f>
        <v>0</v>
      </c>
      <c r="E56" s="5">
        <f>IF(勤務表!Y35="",0,HOUR(勤務表!Y35))</f>
        <v>0</v>
      </c>
      <c r="F56" s="4">
        <f>IF(勤務表!Y35="",0,MINUTE(勤務表!Y35))</f>
        <v>0</v>
      </c>
      <c r="H56" s="2">
        <f>TIME(HOUR(勤務表!K35),ROUNDUP(MINUTE(勤務表!K35)/勤務表!$BD$10,0)*勤務表!$BD$10,0)</f>
        <v>0</v>
      </c>
      <c r="I56" s="2">
        <f>TIME(HOUR(勤務表!O35),ROUNDDOWN(MINUTE(勤務表!O35)/勤務表!$BD$10,0)*勤務表!$BD$10,0)</f>
        <v>0</v>
      </c>
      <c r="J56" s="18">
        <f>IF(I56=H56,0,IF(I56&lt;MAX(勤務表!$BD$4,H56),I56+"24:00"-MAX(勤務表!$BD$4,H56),I56-MAX(勤務表!$BD$4,H56)))</f>
        <v>0</v>
      </c>
      <c r="K56" s="59"/>
    </row>
    <row r="57" spans="1:11">
      <c r="A57" s="5">
        <f>IF(勤務表!A36="",0,IF(WEEKDAY(勤務表!A36)=1,0,IF(WEEKDAY(勤務表!A36)=7,0,IF(COUNTIF(HOLIDAY,勤務表!A36),0,1))))</f>
        <v>0</v>
      </c>
      <c r="C57" s="5">
        <f>IF(勤務表!Y36="",0,HOUR(勤務表!Y36))</f>
        <v>0</v>
      </c>
      <c r="D57" s="5">
        <f>IF(勤務表!Y36="",0,MINUTE(勤務表!Y36))</f>
        <v>0</v>
      </c>
      <c r="E57" s="5">
        <f>IF(勤務表!Y36="",0,HOUR(勤務表!Y36))</f>
        <v>0</v>
      </c>
      <c r="F57" s="4">
        <f>IF(勤務表!Y36="",0,MINUTE(勤務表!Y36))</f>
        <v>0</v>
      </c>
      <c r="H57" s="2">
        <f>TIME(HOUR(勤務表!K36),ROUNDUP(MINUTE(勤務表!K36)/勤務表!$BD$10,0)*勤務表!$BD$10,0)</f>
        <v>0</v>
      </c>
      <c r="I57" s="2">
        <f>TIME(HOUR(勤務表!O36),ROUNDDOWN(MINUTE(勤務表!O36)/勤務表!$BD$10,0)*勤務表!$BD$10,0)</f>
        <v>0</v>
      </c>
      <c r="J57" s="18">
        <f>IF(I57=H57,0,IF(I57&lt;MAX(勤務表!$BD$4,H57),I57+"24:00"-MAX(勤務表!$BD$4,H57),I57-MAX(勤務表!$BD$4,H57)))</f>
        <v>0</v>
      </c>
      <c r="K57" s="59"/>
    </row>
    <row r="58" spans="1:11">
      <c r="A58" s="5">
        <f>IF(勤務表!A37="",0,IF(WEEKDAY(勤務表!A37)=1,0,IF(WEEKDAY(勤務表!A37)=7,0,IF(COUNTIF(HOLIDAY,勤務表!A37),0,1))))</f>
        <v>0</v>
      </c>
      <c r="C58" s="5">
        <f>IF(勤務表!Y37="",0,HOUR(勤務表!Y37))</f>
        <v>0</v>
      </c>
      <c r="D58" s="5">
        <f>IF(勤務表!Y37="",0,MINUTE(勤務表!Y37))</f>
        <v>0</v>
      </c>
      <c r="E58" s="5">
        <f>IF(勤務表!Y37="",0,HOUR(勤務表!Y37))</f>
        <v>0</v>
      </c>
      <c r="F58" s="4">
        <f>IF(勤務表!Y37="",0,MINUTE(勤務表!Y37))</f>
        <v>0</v>
      </c>
      <c r="H58" s="2">
        <f>TIME(HOUR(勤務表!K37),ROUNDUP(MINUTE(勤務表!K37)/勤務表!$BD$10,0)*勤務表!$BD$10,0)</f>
        <v>0</v>
      </c>
      <c r="I58" s="2">
        <f>TIME(HOUR(勤務表!O37),ROUNDDOWN(MINUTE(勤務表!O37)/勤務表!$BD$10,0)*勤務表!$BD$10,0)</f>
        <v>0</v>
      </c>
      <c r="J58" s="18">
        <f>IF(I58=H58,0,IF(I58&lt;MAX(勤務表!$BD$4,H58),I58+"24:00"-MAX(勤務表!$BD$4,H58),I58-MAX(勤務表!$BD$4,H58)))</f>
        <v>0</v>
      </c>
      <c r="K58" s="59"/>
    </row>
    <row r="59" spans="1:11">
      <c r="A59" s="5">
        <f>IF(勤務表!A38="",0,IF(WEEKDAY(勤務表!A38)=1,0,IF(WEEKDAY(勤務表!A38)=7,0,IF(COUNTIF(HOLIDAY,勤務表!A38),0,1))))</f>
        <v>1</v>
      </c>
      <c r="C59" s="5">
        <f>IF(勤務表!Y38="",0,HOUR(勤務表!Y38))</f>
        <v>8</v>
      </c>
      <c r="D59" s="5">
        <f>IF(勤務表!Y38="",0,MINUTE(勤務表!Y38))</f>
        <v>45</v>
      </c>
      <c r="E59" s="5">
        <f>IF(勤務表!Y38="",0,HOUR(勤務表!Y38))</f>
        <v>8</v>
      </c>
      <c r="F59" s="4">
        <f>IF(勤務表!Y38="",0,MINUTE(勤務表!Y38))</f>
        <v>45</v>
      </c>
      <c r="H59" s="2">
        <f>TIME(HOUR(勤務表!K38),ROUNDUP(MINUTE(勤務表!K38)/勤務表!$BD$10,0)*勤務表!$BD$10,0)</f>
        <v>0.375</v>
      </c>
      <c r="I59" s="2">
        <f>TIME(HOUR(勤務表!O38),ROUNDDOWN(MINUTE(勤務表!O38)/勤務表!$BD$10,0)*勤務表!$BD$10,0)</f>
        <v>0.77083333333333337</v>
      </c>
      <c r="J59" s="18">
        <f>IF(I59=H59,0,IF(I59&lt;MAX(勤務表!$BD$4,H59),I59+"24:00"-MAX(勤務表!$BD$4,H59),I59-MAX(勤務表!$BD$4,H59)))</f>
        <v>0.39583333333333337</v>
      </c>
      <c r="K59" s="59"/>
    </row>
    <row r="60" spans="1:11">
      <c r="A60" s="5">
        <f>IF(勤務表!A39="",0,IF(WEEKDAY(勤務表!A39)=1,0,IF(WEEKDAY(勤務表!A39)=7,0,IF(COUNTIF(HOLIDAY,勤務表!A39),0,1))))</f>
        <v>1</v>
      </c>
      <c r="C60" s="5">
        <f>IF(勤務表!Y39="",0,HOUR(勤務表!Y39))</f>
        <v>10</v>
      </c>
      <c r="D60" s="5">
        <f>IF(勤務表!Y39="",0,MINUTE(勤務表!Y39))</f>
        <v>45</v>
      </c>
      <c r="E60" s="5">
        <f>IF(勤務表!Y39="",0,HOUR(勤務表!Y39))</f>
        <v>10</v>
      </c>
      <c r="F60" s="4">
        <f>IF(勤務表!Y39="",0,MINUTE(勤務表!Y39))</f>
        <v>45</v>
      </c>
      <c r="H60" s="2">
        <f>TIME(HOUR(勤務表!K39),ROUNDUP(MINUTE(勤務表!K39)/勤務表!$BD$10,0)*勤務表!$BD$10,0)</f>
        <v>0.375</v>
      </c>
      <c r="I60" s="2">
        <f>TIME(HOUR(勤務表!O39),ROUNDDOWN(MINUTE(勤務表!O39)/勤務表!$BD$10,0)*勤務表!$BD$10,0)</f>
        <v>0.85416666666666663</v>
      </c>
      <c r="J60" s="18">
        <f>IF(I60=H60,0,IF(I60&lt;MAX(勤務表!$BD$4,H60),I60+"24:00"-MAX(勤務表!$BD$4,H60),I60-MAX(勤務表!$BD$4,H60)))</f>
        <v>0.47916666666666663</v>
      </c>
      <c r="K60" s="59"/>
    </row>
    <row r="61" spans="1:11">
      <c r="A61" s="5">
        <f>IF(勤務表!A40="",0,IF(WEEKDAY(勤務表!A40)=1,0,IF(WEEKDAY(勤務表!A40)=7,0,IF(COUNTIF(HOLIDAY,勤務表!A40),0,1))))</f>
        <v>1</v>
      </c>
      <c r="C61" s="5">
        <f>IF(勤務表!Y40="",0,HOUR(勤務表!Y40))</f>
        <v>8</v>
      </c>
      <c r="D61" s="5">
        <f>IF(勤務表!Y40="",0,MINUTE(勤務表!Y40))</f>
        <v>45</v>
      </c>
      <c r="E61" s="5">
        <f>IF(勤務表!Y40="",0,HOUR(勤務表!Y40))</f>
        <v>8</v>
      </c>
      <c r="F61" s="4">
        <f>IF(勤務表!Y40="",0,MINUTE(勤務表!Y40))</f>
        <v>45</v>
      </c>
      <c r="H61" s="2">
        <f>TIME(HOUR(勤務表!K40),ROUNDUP(MINUTE(勤務表!K40)/勤務表!$BD$10,0)*勤務表!$BD$10,0)</f>
        <v>0.39583333333333331</v>
      </c>
      <c r="I61" s="2">
        <f>TIME(HOUR(勤務表!O40),ROUNDDOWN(MINUTE(勤務表!O40)/勤務表!$BD$10,0)*勤務表!$BD$10,0)</f>
        <v>0.79166666666666663</v>
      </c>
      <c r="J61" s="18">
        <f>IF(I61=H61,0,IF(I61&lt;MAX(勤務表!$BD$4,H61),I61+"24:00"-MAX(勤務表!$BD$4,H61),I61-MAX(勤務表!$BD$4,H61)))</f>
        <v>0.39583333333333331</v>
      </c>
      <c r="K61" s="59"/>
    </row>
    <row r="62" spans="1:11">
      <c r="A62" s="5">
        <f>IF(勤務表!A41="",0,IF(WEEKDAY(勤務表!A41)=1,0,IF(WEEKDAY(勤務表!A41)=7,0,IF(COUNTIF(HOLIDAY,勤務表!A41),0,1))))</f>
        <v>1</v>
      </c>
      <c r="C62" s="5">
        <f>IF(勤務表!Y41="",0,HOUR(勤務表!Y41))</f>
        <v>4</v>
      </c>
      <c r="D62" s="5">
        <f>IF(勤務表!Y41="",0,MINUTE(勤務表!Y41))</f>
        <v>55</v>
      </c>
      <c r="E62" s="5">
        <f>IF(勤務表!Y41="",0,HOUR(勤務表!Y41))</f>
        <v>4</v>
      </c>
      <c r="F62" s="4">
        <f>IF(勤務表!Y41="",0,MINUTE(勤務表!Y41))</f>
        <v>55</v>
      </c>
      <c r="H62" s="2">
        <f>TIME(HOUR(勤務表!K41),ROUNDUP(MINUTE(勤務表!K41)/勤務表!$BD$10,0)*勤務表!$BD$10,0)</f>
        <v>0.3888888888888889</v>
      </c>
      <c r="I62" s="2">
        <f>TIME(HOUR(勤務表!O41),ROUNDDOWN(MINUTE(勤務表!O41)/勤務表!$BD$10,0)*勤務表!$BD$10,0)</f>
        <v>0.625</v>
      </c>
      <c r="J62" s="18">
        <f>IF(I62=H62,0,IF(I62&lt;MAX(勤務表!$BD$4,H62),I62+"24:00"-MAX(勤務表!$BD$4,H62),I62-MAX(勤務表!$BD$4,H62)))</f>
        <v>0.2361111111111111</v>
      </c>
      <c r="K62" s="59"/>
    </row>
    <row r="63" spans="1:11">
      <c r="A63" s="5">
        <f>IF(勤務表!A42="",0,IF(WEEKDAY(勤務表!A42)=1,0,IF(WEEKDAY(勤務表!A42)=7,0,IF(COUNTIF(HOLIDAY,勤務表!A42),0,1))))</f>
        <v>1</v>
      </c>
      <c r="C63" s="5">
        <f>IF(勤務表!Y42="",0,HOUR(勤務表!Y42))</f>
        <v>0</v>
      </c>
      <c r="D63" s="5">
        <f>IF(勤務表!Y42="",0,MINUTE(勤務表!Y42))</f>
        <v>0</v>
      </c>
      <c r="E63" s="5">
        <f>IF(勤務表!Y42="",0,HOUR(勤務表!Y42))</f>
        <v>0</v>
      </c>
      <c r="F63" s="4">
        <f>IF(勤務表!Y42="",0,MINUTE(勤務表!Y42))</f>
        <v>0</v>
      </c>
      <c r="H63" s="2">
        <f>TIME(HOUR(勤務表!K42),ROUNDUP(MINUTE(勤務表!K42)/勤務表!$BD$10,0)*勤務表!$BD$10,0)</f>
        <v>0</v>
      </c>
      <c r="I63" s="2">
        <f>TIME(HOUR(勤務表!O42),ROUNDDOWN(MINUTE(勤務表!O42)/勤務表!$BD$10,0)*勤務表!$BD$10,0)</f>
        <v>0</v>
      </c>
      <c r="J63" s="18">
        <f>IF(I63=H63,0,IF(I63&lt;MAX(勤務表!$BD$4,H63),I63+"24:00"-MAX(勤務表!$BD$4,H63),I63-MAX(勤務表!$BD$4,H63)))</f>
        <v>0</v>
      </c>
      <c r="K63" s="59"/>
    </row>
    <row r="64" spans="1:11">
      <c r="A64" s="5">
        <f>IF(勤務表!A43="",0,IF(WEEKDAY(勤務表!A43)=1,0,IF(WEEKDAY(勤務表!A43)=7,0,IF(COUNTIF(HOLIDAY,勤務表!A43),0,1))))</f>
        <v>0</v>
      </c>
      <c r="C64" s="5">
        <f>IF(勤務表!Y43="",0,HOUR(勤務表!Y43))</f>
        <v>0</v>
      </c>
      <c r="D64" s="5">
        <f>IF(勤務表!Y43="",0,MINUTE(勤務表!Y43))</f>
        <v>0</v>
      </c>
      <c r="E64" s="5">
        <f>IF(勤務表!Y43="",0,HOUR(勤務表!Y43))</f>
        <v>0</v>
      </c>
      <c r="F64" s="4">
        <f>IF(勤務表!Y43="",0,MINUTE(勤務表!Y43))</f>
        <v>0</v>
      </c>
      <c r="H64" s="2">
        <f>TIME(HOUR(勤務表!K43),ROUNDUP(MINUTE(勤務表!K43)/勤務表!$BD$10,0)*勤務表!$BD$10,0)</f>
        <v>0</v>
      </c>
      <c r="I64" s="2">
        <f>TIME(HOUR(勤務表!O43),ROUNDDOWN(MINUTE(勤務表!O43)/勤務表!$BD$10,0)*勤務表!$BD$10,0)</f>
        <v>0</v>
      </c>
      <c r="J64" s="18">
        <f>IF(I64=H64,0,IF(I64&lt;MAX(勤務表!$BD$4,H64),I64+"24:00"-MAX(勤務表!$BD$4,H64),I64-MAX(勤務表!$BD$4,H64)))</f>
        <v>0</v>
      </c>
      <c r="K64" s="59"/>
    </row>
    <row r="67" spans="1:9">
      <c r="H67" s="5"/>
      <c r="I67" s="5"/>
    </row>
    <row r="68" spans="1:9">
      <c r="H68" s="5"/>
      <c r="I68" s="5"/>
    </row>
    <row r="69" spans="1:9">
      <c r="H69" s="5"/>
      <c r="I69" s="5"/>
    </row>
    <row r="70" spans="1:9">
      <c r="A70" s="233" t="s">
        <v>65</v>
      </c>
      <c r="B70" s="233"/>
      <c r="H70" s="5"/>
      <c r="I70" s="5"/>
    </row>
    <row r="71" spans="1:9">
      <c r="A71" s="56">
        <f>ROUNDDOWN(SUM(勤務表!Y13:AB43)*24,0)</f>
        <v>58</v>
      </c>
      <c r="B71" s="56">
        <f>MINUTE(SUM(勤務表!Y13:AB43))</f>
        <v>55</v>
      </c>
      <c r="H71" s="5"/>
      <c r="I71" s="5"/>
    </row>
    <row r="72" spans="1:9">
      <c r="A72" s="57">
        <f>SUM(勤務表!Y13:AB43)</f>
        <v>2.4548611111111112</v>
      </c>
      <c r="B72" s="57"/>
      <c r="H72" s="5"/>
      <c r="I72" s="5"/>
    </row>
    <row r="73" spans="1:9">
      <c r="A73" s="59">
        <f>勤務表!BD6/24</f>
        <v>7.083333333333333</v>
      </c>
      <c r="B73" s="59">
        <f>A73+A74</f>
        <v>8.3333333333333321</v>
      </c>
      <c r="H73" s="5"/>
      <c r="I73" s="5"/>
    </row>
    <row r="74" spans="1:9">
      <c r="A74" s="59">
        <f>勤務表!BD7/24</f>
        <v>1.25</v>
      </c>
      <c r="B74" s="59">
        <f>IF(A75&gt;B73,A75-B73,0)</f>
        <v>0</v>
      </c>
      <c r="H74" s="5"/>
      <c r="I74" s="5"/>
    </row>
    <row r="75" spans="1:9">
      <c r="A75" s="59">
        <f>勤務表!G46</f>
        <v>0</v>
      </c>
      <c r="H75" s="5"/>
      <c r="I75" s="5"/>
    </row>
    <row r="76" spans="1:9">
      <c r="H76" s="5"/>
      <c r="I76" s="5"/>
    </row>
    <row r="77" spans="1:9">
      <c r="H77" s="5"/>
      <c r="I77" s="5"/>
    </row>
    <row r="78" spans="1:9">
      <c r="H78" s="5"/>
      <c r="I78" s="5"/>
    </row>
  </sheetData>
  <mergeCells count="1">
    <mergeCell ref="A70:B70"/>
  </mergeCells>
  <phoneticPr fontId="6"/>
  <dataValidations count="1">
    <dataValidation allowBlank="1" showInputMessage="1" showErrorMessage="1" prompt="記入不要" sqref="A71:A72"/>
  </dataValidations>
  <pageMargins left="0.75" right="0.75" top="1" bottom="1" header="0.51111111111111107" footer="0.51111111111111107"/>
  <pageSetup paperSize="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DO191"/>
  <sheetViews>
    <sheetView tabSelected="1" zoomScale="85" zoomScaleNormal="85" zoomScaleSheetLayoutView="115" workbookViewId="0">
      <selection activeCell="AK7" sqref="AK7:AS7"/>
    </sheetView>
  </sheetViews>
  <sheetFormatPr defaultColWidth="3" defaultRowHeight="18" customHeight="1"/>
  <cols>
    <col min="1" max="1" width="2.875" style="1" customWidth="1"/>
    <col min="2" max="2" width="2.375" style="1" customWidth="1"/>
    <col min="3" max="3" width="2.625" style="1" customWidth="1"/>
    <col min="4" max="4" width="3.125" style="1" customWidth="1"/>
    <col min="5" max="5" width="3.25" style="1" customWidth="1"/>
    <col min="6" max="6" width="2.875" style="1" customWidth="1"/>
    <col min="7" max="7" width="3.125" style="1" customWidth="1"/>
    <col min="8" max="8" width="3.375" style="1" customWidth="1"/>
    <col min="9" max="9" width="3.625" style="1" customWidth="1"/>
    <col min="10" max="10" width="3" style="1" customWidth="1"/>
    <col min="11" max="11" width="2.875" style="1" customWidth="1"/>
    <col min="12" max="12" width="3.25" style="1" customWidth="1"/>
    <col min="13" max="13" width="3.5" style="1" customWidth="1"/>
    <col min="14" max="14" width="3.375" style="1" customWidth="1"/>
    <col min="15" max="15" width="2.875" style="1" customWidth="1"/>
    <col min="16" max="18" width="3.25" style="1" customWidth="1"/>
    <col min="19" max="19" width="3.375" style="1" customWidth="1"/>
    <col min="20" max="25" width="2.875" style="1" customWidth="1"/>
    <col min="26" max="26" width="1.375" style="1" customWidth="1"/>
    <col min="27" max="27" width="3" style="1" customWidth="1"/>
    <col min="28" max="28" width="1.875" style="1" customWidth="1"/>
    <col min="29" max="37" width="2.875" style="1" customWidth="1"/>
    <col min="38" max="38" width="3" style="1" customWidth="1"/>
    <col min="39" max="39" width="5.125" style="1" customWidth="1"/>
    <col min="40" max="40" width="3.25" style="1" customWidth="1"/>
    <col min="41" max="43" width="2.875" style="1" customWidth="1"/>
    <col min="44" max="44" width="2.375" style="1" customWidth="1"/>
    <col min="45" max="45" width="2.875" style="3" customWidth="1"/>
    <col min="46" max="46" width="4.75" style="151" customWidth="1"/>
    <col min="47" max="47" width="3.375" style="2" hidden="1" customWidth="1"/>
    <col min="48" max="48" width="3.5" style="2" hidden="1" customWidth="1"/>
    <col min="49" max="49" width="5.5" style="1" customWidth="1"/>
    <col min="50" max="57" width="2.625" style="1" customWidth="1"/>
    <col min="58" max="59" width="2.625" style="27" customWidth="1"/>
    <col min="60" max="60" width="3.75" style="27" customWidth="1"/>
    <col min="61" max="61" width="2.625" style="27" customWidth="1"/>
    <col min="62" max="63" width="3" style="1"/>
    <col min="64" max="64" width="2.25" style="1" customWidth="1"/>
    <col min="65" max="65" width="4.5" style="1" customWidth="1"/>
    <col min="66" max="66" width="8.375" style="26" hidden="1" customWidth="1"/>
    <col min="67" max="67" width="9.25" style="26" hidden="1" customWidth="1"/>
    <col min="68" max="68" width="8.5" style="26" hidden="1" customWidth="1"/>
    <col min="69" max="69" width="5.75" style="26" hidden="1" customWidth="1"/>
    <col min="70" max="70" width="8" style="26" hidden="1" customWidth="1"/>
    <col min="71" max="71" width="8.75" style="26" hidden="1" customWidth="1"/>
    <col min="72" max="72" width="6.625" style="26" hidden="1" customWidth="1"/>
    <col min="73" max="73" width="6.125" style="26" hidden="1" customWidth="1"/>
    <col min="74" max="74" width="3" style="26" hidden="1" customWidth="1"/>
    <col min="75" max="75" width="5.875" style="26" hidden="1" customWidth="1"/>
    <col min="76" max="78" width="3" style="26" hidden="1" customWidth="1"/>
    <col min="79" max="79" width="3.375" style="26" hidden="1" customWidth="1"/>
    <col min="80" max="81" width="10.125" style="26" hidden="1" customWidth="1"/>
    <col min="82" max="84" width="8" style="26" hidden="1" customWidth="1"/>
    <col min="85" max="92" width="3" style="26" hidden="1" customWidth="1"/>
    <col min="93" max="93" width="3" style="1" hidden="1" customWidth="1"/>
    <col min="94" max="101" width="3" style="1" customWidth="1"/>
    <col min="102" max="16384" width="3" style="1"/>
  </cols>
  <sheetData>
    <row r="1" spans="1:92" ht="24" customHeight="1">
      <c r="A1" s="313" t="s">
        <v>28</v>
      </c>
      <c r="B1" s="313"/>
      <c r="C1" s="313"/>
      <c r="D1" s="313"/>
      <c r="E1" s="313"/>
      <c r="F1" s="313"/>
      <c r="G1" s="313"/>
      <c r="H1" s="313"/>
      <c r="I1" s="313"/>
      <c r="J1" s="313"/>
      <c r="K1" s="313"/>
      <c r="L1" s="313"/>
      <c r="M1" s="313"/>
      <c r="N1" s="313"/>
      <c r="O1" s="313"/>
      <c r="P1" s="313"/>
      <c r="Q1" s="313"/>
      <c r="R1" s="313"/>
      <c r="S1" s="313"/>
      <c r="T1" s="313"/>
      <c r="U1" s="313"/>
      <c r="V1" s="313"/>
      <c r="W1" s="313"/>
      <c r="X1" s="313"/>
      <c r="Y1" s="313"/>
      <c r="Z1" s="313"/>
      <c r="AA1" s="313"/>
      <c r="AB1" s="313"/>
      <c r="AC1" s="313"/>
      <c r="AD1" s="313"/>
      <c r="AE1" s="313"/>
      <c r="AF1" s="313"/>
      <c r="AG1" s="313"/>
      <c r="AH1" s="313"/>
      <c r="AI1" s="313"/>
      <c r="AJ1" s="313"/>
      <c r="AK1" s="313"/>
      <c r="AL1" s="313"/>
      <c r="AM1" s="313"/>
      <c r="AN1" s="313"/>
      <c r="AO1" s="313"/>
      <c r="AP1" s="313"/>
      <c r="AQ1" s="313"/>
      <c r="AR1" s="313"/>
      <c r="AS1" s="313"/>
      <c r="BN1" s="74"/>
      <c r="BO1" s="74"/>
      <c r="BP1" s="74"/>
      <c r="BQ1" s="74"/>
      <c r="BR1" s="74"/>
      <c r="BS1" s="91">
        <v>1</v>
      </c>
      <c r="BT1" s="74"/>
      <c r="BU1" s="74"/>
      <c r="BV1" s="74"/>
      <c r="BW1" s="74"/>
      <c r="BX1" s="74"/>
      <c r="BY1" s="74"/>
      <c r="BZ1" s="74"/>
      <c r="CA1" s="74" t="str">
        <f>SetData!B2</f>
        <v>No</v>
      </c>
      <c r="CB1" s="74" t="str">
        <f>SetData!D2</f>
        <v>備考</v>
      </c>
      <c r="CC1" s="74" t="str">
        <f>SetData!C2</f>
        <v>区分</v>
      </c>
      <c r="CD1" s="74" t="str">
        <f>SetData!C2</f>
        <v>区分</v>
      </c>
      <c r="CE1" s="74" t="str">
        <f>SetData!E2</f>
        <v>単位</v>
      </c>
      <c r="CF1" s="74" t="str">
        <f>SetData!E2</f>
        <v>単位</v>
      </c>
      <c r="CG1" s="74"/>
      <c r="CH1" s="74"/>
    </row>
    <row r="2" spans="1:92" ht="15" customHeight="1">
      <c r="A2" s="12"/>
      <c r="B2" s="12"/>
      <c r="C2" s="10"/>
      <c r="D2" s="10"/>
      <c r="E2" s="10"/>
      <c r="F2" s="10"/>
      <c r="G2" s="65"/>
      <c r="H2" s="65"/>
      <c r="I2" s="65"/>
      <c r="J2" s="65"/>
      <c r="K2" s="65"/>
      <c r="L2" s="65"/>
      <c r="M2" s="65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4"/>
      <c r="AM2" s="14"/>
      <c r="AN2" s="14"/>
      <c r="AO2" s="14"/>
      <c r="AP2" s="14"/>
      <c r="AQ2" s="14"/>
      <c r="AR2" s="14"/>
      <c r="AS2" s="1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>
        <f>SetData!B3</f>
        <v>1</v>
      </c>
      <c r="CB2" s="74" t="str">
        <f>IF(CC2=0,"",CC2)</f>
        <v/>
      </c>
      <c r="CC2" s="74">
        <f>SetData!D3</f>
        <v>0</v>
      </c>
      <c r="CD2" s="74">
        <f>SetData!C3</f>
        <v>0</v>
      </c>
      <c r="CE2" s="74">
        <f>IF(CD2="有給休暇",SetData!E3,0)</f>
        <v>0</v>
      </c>
      <c r="CF2" s="74" t="str">
        <f>SetData!E3</f>
        <v/>
      </c>
      <c r="CG2" s="74"/>
      <c r="CH2" s="74"/>
    </row>
    <row r="3" spans="1:92" s="16" customFormat="1" ht="20.25" customHeight="1">
      <c r="C3" s="10"/>
      <c r="D3" s="10"/>
      <c r="E3" s="10"/>
      <c r="F3" s="10"/>
      <c r="G3" s="65"/>
      <c r="H3" s="65"/>
      <c r="I3" s="65"/>
      <c r="J3" s="65"/>
      <c r="K3" s="65"/>
      <c r="L3" s="65"/>
      <c r="M3" s="65"/>
      <c r="N3" s="10"/>
      <c r="O3" s="10"/>
      <c r="P3" s="157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T3" s="152"/>
      <c r="AU3" s="15"/>
      <c r="AV3" s="15"/>
      <c r="AX3" s="31" t="s">
        <v>147</v>
      </c>
      <c r="AY3" s="28"/>
      <c r="AZ3" s="29"/>
      <c r="BA3" s="29"/>
      <c r="BB3" s="29"/>
      <c r="BC3" s="29"/>
      <c r="BD3" s="29"/>
      <c r="BE3" s="29"/>
      <c r="BF3" s="30"/>
      <c r="BG3" s="30"/>
      <c r="BH3" s="30"/>
      <c r="BI3" s="30"/>
      <c r="BJ3" s="29"/>
      <c r="BK3" s="29"/>
      <c r="BL3" s="29"/>
      <c r="BN3" s="75"/>
      <c r="BO3" s="75"/>
      <c r="BP3" s="75"/>
      <c r="BQ3" s="75"/>
      <c r="BR3" s="75"/>
      <c r="BS3" s="75"/>
      <c r="BT3" s="75"/>
      <c r="BU3" s="75"/>
      <c r="BV3" s="75"/>
      <c r="BW3" s="76"/>
      <c r="BX3" s="75"/>
      <c r="BY3" s="75"/>
      <c r="BZ3" s="75"/>
      <c r="CA3" s="75">
        <f>SetData!B4</f>
        <v>2</v>
      </c>
      <c r="CB3" s="75" t="str">
        <f>IF(CC3=0,"",CC3)</f>
        <v>欠勤</v>
      </c>
      <c r="CC3" s="75" t="str">
        <f>SetData!D4</f>
        <v>欠勤</v>
      </c>
      <c r="CD3" s="75" t="str">
        <f>SetData!C4</f>
        <v>欠勤</v>
      </c>
      <c r="CE3" s="75">
        <f>IF(CD3="有給休暇",SetData!E4,0)</f>
        <v>0</v>
      </c>
      <c r="CF3" s="75">
        <f>SetData!E4</f>
        <v>1</v>
      </c>
      <c r="CG3" s="75"/>
      <c r="CH3" s="75"/>
      <c r="CI3" s="61"/>
      <c r="CJ3" s="61"/>
      <c r="CK3" s="61"/>
      <c r="CL3" s="61"/>
      <c r="CM3" s="61"/>
      <c r="CN3" s="61"/>
    </row>
    <row r="4" spans="1:92" s="11" customFormat="1" ht="20.25" customHeight="1">
      <c r="K4" s="10"/>
      <c r="L4" s="10"/>
      <c r="M4" s="10"/>
      <c r="N4" s="10"/>
      <c r="O4" s="10"/>
      <c r="P4" s="65"/>
      <c r="Q4" s="65"/>
      <c r="R4" s="65"/>
      <c r="S4" s="65"/>
      <c r="T4" s="65"/>
      <c r="U4" s="65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K4" s="65"/>
      <c r="AL4" s="65"/>
      <c r="AM4" s="318">
        <v>2016</v>
      </c>
      <c r="AN4" s="318"/>
      <c r="AO4" s="51" t="s">
        <v>131</v>
      </c>
      <c r="AP4" s="298">
        <v>12</v>
      </c>
      <c r="AQ4" s="298"/>
      <c r="AR4" s="49" t="s">
        <v>58</v>
      </c>
      <c r="AS4" s="50"/>
      <c r="AU4" s="7"/>
      <c r="AV4" s="7"/>
      <c r="AX4" s="294" t="s">
        <v>76</v>
      </c>
      <c r="AY4" s="294"/>
      <c r="AZ4" s="294"/>
      <c r="BA4" s="294"/>
      <c r="BB4" s="294"/>
      <c r="BC4" s="294"/>
      <c r="BD4" s="280">
        <v>0.375</v>
      </c>
      <c r="BE4" s="281"/>
      <c r="BF4" s="281"/>
      <c r="BG4" s="281"/>
      <c r="BH4" s="281"/>
      <c r="BI4" s="281"/>
      <c r="BJ4" s="281"/>
      <c r="BK4" s="281"/>
      <c r="BL4" s="281"/>
      <c r="BN4" s="77"/>
      <c r="BO4" s="77"/>
      <c r="BP4" s="77"/>
      <c r="BQ4" s="77"/>
      <c r="BR4" s="77"/>
      <c r="BS4" s="78"/>
      <c r="BT4" s="77"/>
      <c r="BU4" s="77"/>
      <c r="BV4" s="77"/>
      <c r="BW4" s="79"/>
      <c r="BX4" s="77"/>
      <c r="BY4" s="77"/>
      <c r="BZ4" s="77"/>
      <c r="CA4" s="74">
        <f>SetData!B8</f>
        <v>6</v>
      </c>
      <c r="CB4" s="74" t="str">
        <f>IF(CC4=0,"",CC4)</f>
        <v>(現場指定休)有給休暇</v>
      </c>
      <c r="CC4" s="74" t="str">
        <f>SetData!D8</f>
        <v>(現場指定休)有給休暇</v>
      </c>
      <c r="CD4" s="74" t="str">
        <f>SetData!C8</f>
        <v>有給休暇</v>
      </c>
      <c r="CE4" s="74">
        <f>IF(CD4="有給休暇",SetData!E8,0)</f>
        <v>1</v>
      </c>
      <c r="CF4" s="74">
        <f>SetData!E8</f>
        <v>1</v>
      </c>
      <c r="CG4" s="77"/>
      <c r="CH4" s="77"/>
      <c r="CI4" s="62"/>
      <c r="CJ4" s="26"/>
      <c r="CK4" s="62"/>
      <c r="CL4" s="62"/>
      <c r="CM4" s="62"/>
      <c r="CN4" s="62"/>
    </row>
    <row r="5" spans="1:92" s="4" customFormat="1" ht="6" customHeight="1">
      <c r="AT5" s="111"/>
      <c r="AU5" s="6"/>
      <c r="AV5" s="6"/>
      <c r="AX5" s="24"/>
      <c r="BF5" s="23"/>
      <c r="BG5" s="23"/>
      <c r="BH5" s="23"/>
      <c r="BI5" s="23"/>
      <c r="BN5" s="80"/>
      <c r="BO5" s="80"/>
      <c r="BP5" s="80"/>
      <c r="BQ5" s="80"/>
      <c r="BR5" s="80"/>
      <c r="BS5" s="80"/>
      <c r="BT5" s="80"/>
      <c r="BU5" s="80"/>
      <c r="BV5" s="80"/>
      <c r="BW5" s="81"/>
      <c r="BX5" s="80"/>
      <c r="BY5" s="80"/>
      <c r="BZ5" s="80"/>
      <c r="CA5" s="80"/>
      <c r="CB5" s="80"/>
      <c r="CC5" s="80"/>
      <c r="CD5" s="80"/>
      <c r="CE5" s="80"/>
      <c r="CF5" s="80"/>
      <c r="CG5" s="80"/>
      <c r="CH5" s="80"/>
      <c r="CI5" s="54"/>
      <c r="CJ5" s="54"/>
      <c r="CK5" s="54"/>
      <c r="CL5" s="54"/>
      <c r="CM5" s="54"/>
      <c r="CN5" s="54"/>
    </row>
    <row r="6" spans="1:92" ht="24" customHeight="1">
      <c r="A6" s="10"/>
      <c r="B6" s="10"/>
      <c r="C6" s="10"/>
      <c r="D6" s="10"/>
      <c r="E6" s="10"/>
      <c r="F6" s="10"/>
      <c r="G6" s="245" t="s">
        <v>121</v>
      </c>
      <c r="H6" s="246"/>
      <c r="I6" s="246"/>
      <c r="J6" s="246"/>
      <c r="K6" s="247"/>
      <c r="L6" s="248"/>
      <c r="M6" s="249"/>
      <c r="N6" s="249"/>
      <c r="O6" s="249"/>
      <c r="P6" s="249"/>
      <c r="Q6" s="249"/>
      <c r="R6" s="250"/>
      <c r="S6" s="245" t="s">
        <v>129</v>
      </c>
      <c r="T6" s="246"/>
      <c r="U6" s="246"/>
      <c r="V6" s="246"/>
      <c r="W6" s="251" t="s">
        <v>186</v>
      </c>
      <c r="X6" s="252"/>
      <c r="Y6" s="252"/>
      <c r="Z6" s="252"/>
      <c r="AA6" s="252"/>
      <c r="AB6" s="253"/>
      <c r="AC6" s="245" t="s">
        <v>130</v>
      </c>
      <c r="AD6" s="246"/>
      <c r="AE6" s="246"/>
      <c r="AF6" s="246"/>
      <c r="AG6" s="246"/>
      <c r="AH6" s="246"/>
      <c r="AI6" s="246"/>
      <c r="AJ6" s="246"/>
      <c r="AK6" s="295" t="s">
        <v>39</v>
      </c>
      <c r="AL6" s="296"/>
      <c r="AM6" s="296"/>
      <c r="AN6" s="296"/>
      <c r="AO6" s="296"/>
      <c r="AP6" s="296"/>
      <c r="AQ6" s="296"/>
      <c r="AR6" s="296"/>
      <c r="AS6" s="297"/>
      <c r="AT6" s="109"/>
      <c r="AU6" s="6"/>
      <c r="AV6" s="6"/>
      <c r="AX6" s="294" t="s">
        <v>64</v>
      </c>
      <c r="AY6" s="294"/>
      <c r="AZ6" s="294"/>
      <c r="BA6" s="294"/>
      <c r="BB6" s="294"/>
      <c r="BC6" s="294"/>
      <c r="BD6" s="317">
        <v>170</v>
      </c>
      <c r="BE6" s="317"/>
      <c r="BF6" s="317"/>
      <c r="BG6" s="317"/>
      <c r="BH6" s="317"/>
      <c r="BI6" s="317"/>
      <c r="BJ6" s="317"/>
      <c r="BK6" s="308" t="s">
        <v>117</v>
      </c>
      <c r="BL6" s="267"/>
      <c r="BN6" s="82"/>
      <c r="BO6" s="74"/>
      <c r="BP6" s="74"/>
      <c r="BQ6" s="74"/>
      <c r="BR6" s="74"/>
      <c r="BS6" s="74"/>
      <c r="BT6" s="74"/>
      <c r="BU6" s="74"/>
      <c r="BV6" s="74"/>
      <c r="BW6" s="81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</row>
    <row r="7" spans="1:92" ht="24" customHeight="1">
      <c r="A7" s="10"/>
      <c r="B7" s="10"/>
      <c r="C7" s="10"/>
      <c r="D7" s="10"/>
      <c r="E7" s="10"/>
      <c r="F7" s="10"/>
      <c r="G7" s="245" t="s">
        <v>127</v>
      </c>
      <c r="H7" s="246"/>
      <c r="I7" s="246"/>
      <c r="J7" s="246"/>
      <c r="K7" s="247"/>
      <c r="L7" s="263">
        <v>42724</v>
      </c>
      <c r="M7" s="264"/>
      <c r="N7" s="264"/>
      <c r="O7" s="264"/>
      <c r="P7" s="264"/>
      <c r="Q7" s="264"/>
      <c r="R7" s="265"/>
      <c r="S7" s="245" t="s">
        <v>132</v>
      </c>
      <c r="T7" s="246"/>
      <c r="U7" s="246"/>
      <c r="V7" s="246"/>
      <c r="W7" s="308">
        <f ca="1">IF(OR(L7=0,L7=""),"",ROUNDDOWN(DATEDIF(L7,TODAY(),"m")/12,1))</f>
        <v>0</v>
      </c>
      <c r="X7" s="266"/>
      <c r="Y7" s="266"/>
      <c r="Z7" s="266"/>
      <c r="AA7" s="315" t="s">
        <v>126</v>
      </c>
      <c r="AB7" s="316"/>
      <c r="AC7" s="245" t="s">
        <v>134</v>
      </c>
      <c r="AD7" s="246"/>
      <c r="AE7" s="246"/>
      <c r="AF7" s="246"/>
      <c r="AG7" s="246"/>
      <c r="AH7" s="246"/>
      <c r="AI7" s="246"/>
      <c r="AJ7" s="247"/>
      <c r="AK7" s="269" t="s">
        <v>188</v>
      </c>
      <c r="AL7" s="264"/>
      <c r="AM7" s="264"/>
      <c r="AN7" s="264"/>
      <c r="AO7" s="264"/>
      <c r="AP7" s="264"/>
      <c r="AQ7" s="264"/>
      <c r="AR7" s="264"/>
      <c r="AS7" s="265"/>
      <c r="AT7" s="109"/>
      <c r="AU7" s="6"/>
      <c r="AV7" s="6"/>
      <c r="AX7" s="314" t="s">
        <v>116</v>
      </c>
      <c r="AY7" s="314"/>
      <c r="AZ7" s="314"/>
      <c r="BA7" s="314"/>
      <c r="BB7" s="314"/>
      <c r="BC7" s="314"/>
      <c r="BD7" s="268">
        <v>30</v>
      </c>
      <c r="BE7" s="268"/>
      <c r="BF7" s="268"/>
      <c r="BG7" s="268"/>
      <c r="BH7" s="268"/>
      <c r="BI7" s="268"/>
      <c r="BJ7" s="268"/>
      <c r="BK7" s="266" t="s">
        <v>117</v>
      </c>
      <c r="BL7" s="267"/>
      <c r="BN7" s="74"/>
      <c r="BO7" s="74"/>
      <c r="BP7" s="74"/>
      <c r="BQ7" s="74"/>
      <c r="BR7" s="74"/>
      <c r="BS7" s="74"/>
      <c r="BT7" s="74"/>
      <c r="BU7" s="74"/>
      <c r="BV7" s="74"/>
      <c r="BW7" s="81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</row>
    <row r="8" spans="1:92" ht="5.25" customHeight="1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4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4"/>
      <c r="AQ8" s="4"/>
      <c r="AR8" s="4"/>
      <c r="AS8" s="13"/>
      <c r="AT8" s="109"/>
      <c r="AX8" s="270" t="s">
        <v>139</v>
      </c>
      <c r="AY8" s="271"/>
      <c r="AZ8" s="271"/>
      <c r="BA8" s="271"/>
      <c r="BB8" s="271"/>
      <c r="BC8" s="272"/>
      <c r="BD8" s="285">
        <v>8</v>
      </c>
      <c r="BE8" s="286"/>
      <c r="BF8" s="286"/>
      <c r="BG8" s="286"/>
      <c r="BH8" s="286"/>
      <c r="BI8" s="286"/>
      <c r="BJ8" s="287"/>
      <c r="BK8" s="281" t="s">
        <v>117</v>
      </c>
      <c r="BL8" s="281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>
        <f>SetData!B13</f>
        <v>11</v>
      </c>
      <c r="CB8" s="74" t="str">
        <f>IF(CC8=0,"",CC8)</f>
        <v>振替休暇0.5</v>
      </c>
      <c r="CC8" s="74" t="str">
        <f>SetData!D13</f>
        <v>振替休暇0.5</v>
      </c>
      <c r="CD8" s="74">
        <f>SetData!C13</f>
        <v>0</v>
      </c>
      <c r="CE8" s="74">
        <f>IF(CD8="有給休暇",SetData!E13,0)</f>
        <v>0</v>
      </c>
      <c r="CF8" s="74">
        <f>SetData!E13</f>
        <v>0.5</v>
      </c>
      <c r="CG8" s="74"/>
      <c r="CH8" s="74"/>
    </row>
    <row r="9" spans="1:92" ht="24" customHeight="1">
      <c r="A9" s="237" t="s">
        <v>1</v>
      </c>
      <c r="B9" s="260"/>
      <c r="C9" s="238"/>
      <c r="D9" s="237" t="s">
        <v>2</v>
      </c>
      <c r="E9" s="260"/>
      <c r="F9" s="238"/>
      <c r="G9" s="276" t="s">
        <v>3</v>
      </c>
      <c r="H9" s="276"/>
      <c r="I9" s="276"/>
      <c r="J9" s="276"/>
      <c r="K9" s="276"/>
      <c r="L9" s="276"/>
      <c r="M9" s="276"/>
      <c r="N9" s="276"/>
      <c r="O9" s="277"/>
      <c r="P9" s="277"/>
      <c r="Q9" s="277"/>
      <c r="R9" s="277"/>
      <c r="S9" s="245" t="s">
        <v>4</v>
      </c>
      <c r="T9" s="246"/>
      <c r="U9" s="246"/>
      <c r="V9" s="246"/>
      <c r="W9" s="246"/>
      <c r="X9" s="246"/>
      <c r="Y9" s="246"/>
      <c r="Z9" s="246"/>
      <c r="AA9" s="246"/>
      <c r="AB9" s="247"/>
      <c r="AC9" s="245" t="s">
        <v>135</v>
      </c>
      <c r="AD9" s="246"/>
      <c r="AE9" s="246"/>
      <c r="AF9" s="246"/>
      <c r="AG9" s="246"/>
      <c r="AH9" s="246"/>
      <c r="AI9" s="246"/>
      <c r="AJ9" s="247"/>
      <c r="AK9" s="237" t="s">
        <v>138</v>
      </c>
      <c r="AL9" s="260"/>
      <c r="AM9" s="260"/>
      <c r="AN9" s="260"/>
      <c r="AO9" s="260"/>
      <c r="AP9" s="260"/>
      <c r="AQ9" s="260"/>
      <c r="AR9" s="260"/>
      <c r="AS9" s="238"/>
      <c r="AT9" s="109"/>
      <c r="AU9" s="55"/>
      <c r="AV9" s="55"/>
      <c r="AW9" s="4"/>
      <c r="AX9" s="273"/>
      <c r="AY9" s="274"/>
      <c r="AZ9" s="274"/>
      <c r="BA9" s="274"/>
      <c r="BB9" s="274"/>
      <c r="BC9" s="275"/>
      <c r="BD9" s="288"/>
      <c r="BE9" s="289"/>
      <c r="BF9" s="289"/>
      <c r="BG9" s="289"/>
      <c r="BH9" s="289"/>
      <c r="BI9" s="289"/>
      <c r="BJ9" s="290"/>
      <c r="BK9" s="281"/>
      <c r="BL9" s="281"/>
      <c r="BM9" s="10"/>
      <c r="BN9" s="80"/>
      <c r="BO9" s="80"/>
      <c r="BP9" s="74"/>
      <c r="BQ9" s="74"/>
      <c r="BR9" s="74"/>
      <c r="BS9" s="74"/>
      <c r="BT9" s="74"/>
      <c r="BU9" s="74"/>
      <c r="BV9" s="74"/>
      <c r="BW9" s="74"/>
      <c r="BX9" s="74"/>
      <c r="BY9" s="74"/>
      <c r="BZ9" s="74"/>
      <c r="CA9" s="74">
        <f>SetData!B14</f>
        <v>12</v>
      </c>
      <c r="CB9" s="74" t="str">
        <f>IF(CC9=0,"",CC9)</f>
        <v>休日出勤</v>
      </c>
      <c r="CC9" s="74" t="str">
        <f>SetData!D14</f>
        <v>休日出勤</v>
      </c>
      <c r="CD9" s="74">
        <f>SetData!C14</f>
        <v>0</v>
      </c>
      <c r="CE9" s="74"/>
      <c r="CF9" s="74"/>
      <c r="CG9" s="74"/>
      <c r="CH9" s="74"/>
    </row>
    <row r="10" spans="1:92" s="4" customFormat="1" ht="6" customHeight="1">
      <c r="A10" s="239"/>
      <c r="B10" s="261"/>
      <c r="C10" s="240"/>
      <c r="D10" s="239"/>
      <c r="E10" s="261"/>
      <c r="F10" s="240"/>
      <c r="G10" s="237" t="s">
        <v>137</v>
      </c>
      <c r="H10" s="260"/>
      <c r="I10" s="260"/>
      <c r="J10" s="238"/>
      <c r="K10" s="237" t="s">
        <v>60</v>
      </c>
      <c r="L10" s="260"/>
      <c r="M10" s="260"/>
      <c r="N10" s="238"/>
      <c r="O10" s="237" t="s">
        <v>61</v>
      </c>
      <c r="P10" s="260"/>
      <c r="Q10" s="260"/>
      <c r="R10" s="238"/>
      <c r="S10" s="237" t="s">
        <v>133</v>
      </c>
      <c r="T10" s="260"/>
      <c r="U10" s="238"/>
      <c r="V10" s="237" t="s">
        <v>50</v>
      </c>
      <c r="W10" s="260"/>
      <c r="X10" s="238"/>
      <c r="Y10" s="299" t="s">
        <v>128</v>
      </c>
      <c r="Z10" s="300"/>
      <c r="AA10" s="300"/>
      <c r="AB10" s="301"/>
      <c r="AC10" s="237" t="s">
        <v>122</v>
      </c>
      <c r="AD10" s="238"/>
      <c r="AE10" s="237" t="s">
        <v>136</v>
      </c>
      <c r="AF10" s="238"/>
      <c r="AG10" s="237" t="s">
        <v>123</v>
      </c>
      <c r="AH10" s="238"/>
      <c r="AI10" s="237" t="s">
        <v>124</v>
      </c>
      <c r="AJ10" s="238"/>
      <c r="AK10" s="239"/>
      <c r="AL10" s="261"/>
      <c r="AM10" s="261"/>
      <c r="AN10" s="261"/>
      <c r="AO10" s="261"/>
      <c r="AP10" s="261"/>
      <c r="AQ10" s="261"/>
      <c r="AR10" s="261"/>
      <c r="AS10" s="240"/>
      <c r="AT10" s="51"/>
      <c r="AU10" s="51"/>
      <c r="AV10" s="51"/>
      <c r="AX10" s="270" t="s">
        <v>75</v>
      </c>
      <c r="AY10" s="271"/>
      <c r="AZ10" s="271"/>
      <c r="BA10" s="271"/>
      <c r="BB10" s="271"/>
      <c r="BC10" s="272"/>
      <c r="BD10" s="285">
        <v>10</v>
      </c>
      <c r="BE10" s="286"/>
      <c r="BF10" s="286"/>
      <c r="BG10" s="286"/>
      <c r="BH10" s="286"/>
      <c r="BI10" s="286"/>
      <c r="BJ10" s="287"/>
      <c r="BK10" s="285" t="s">
        <v>77</v>
      </c>
      <c r="BL10" s="287"/>
      <c r="BM10" s="118"/>
      <c r="BN10" s="83"/>
      <c r="BO10" s="83"/>
      <c r="BP10" s="80"/>
      <c r="BQ10" s="80"/>
      <c r="BR10" s="80"/>
      <c r="BS10" s="80"/>
      <c r="BT10" s="80"/>
      <c r="BU10" s="80"/>
      <c r="BV10" s="80"/>
      <c r="BW10" s="80"/>
      <c r="BX10" s="80"/>
      <c r="BY10" s="80"/>
      <c r="BZ10" s="80"/>
      <c r="CA10" s="80"/>
      <c r="CB10" s="80"/>
      <c r="CC10" s="80"/>
      <c r="CD10" s="74"/>
      <c r="CE10" s="74"/>
      <c r="CF10" s="74"/>
      <c r="CG10" s="74"/>
      <c r="CH10" s="80"/>
      <c r="CI10" s="54"/>
      <c r="CJ10" s="54"/>
      <c r="CK10" s="54"/>
      <c r="CL10" s="54"/>
      <c r="CM10" s="54"/>
      <c r="CN10" s="54"/>
    </row>
    <row r="11" spans="1:92" ht="18" customHeight="1">
      <c r="A11" s="239"/>
      <c r="B11" s="261"/>
      <c r="C11" s="240"/>
      <c r="D11" s="239"/>
      <c r="E11" s="261"/>
      <c r="F11" s="240"/>
      <c r="G11" s="239"/>
      <c r="H11" s="261"/>
      <c r="I11" s="261"/>
      <c r="J11" s="240"/>
      <c r="K11" s="239"/>
      <c r="L11" s="261"/>
      <c r="M11" s="261"/>
      <c r="N11" s="240"/>
      <c r="O11" s="239"/>
      <c r="P11" s="261"/>
      <c r="Q11" s="261"/>
      <c r="R11" s="240"/>
      <c r="S11" s="239"/>
      <c r="T11" s="261"/>
      <c r="U11" s="240"/>
      <c r="V11" s="239"/>
      <c r="W11" s="261"/>
      <c r="X11" s="240"/>
      <c r="Y11" s="302"/>
      <c r="Z11" s="303"/>
      <c r="AA11" s="303"/>
      <c r="AB11" s="304"/>
      <c r="AC11" s="239"/>
      <c r="AD11" s="240"/>
      <c r="AE11" s="239"/>
      <c r="AF11" s="240"/>
      <c r="AG11" s="239"/>
      <c r="AH11" s="240"/>
      <c r="AI11" s="239"/>
      <c r="AJ11" s="240"/>
      <c r="AK11" s="239"/>
      <c r="AL11" s="261"/>
      <c r="AM11" s="261"/>
      <c r="AN11" s="261"/>
      <c r="AO11" s="261"/>
      <c r="AP11" s="261"/>
      <c r="AQ11" s="261"/>
      <c r="AR11" s="261"/>
      <c r="AS11" s="240"/>
      <c r="AT11" s="51"/>
      <c r="AU11" s="51"/>
      <c r="AV11" s="51"/>
      <c r="AW11" s="111"/>
      <c r="AX11" s="273"/>
      <c r="AY11" s="274"/>
      <c r="AZ11" s="274"/>
      <c r="BA11" s="274"/>
      <c r="BB11" s="274"/>
      <c r="BC11" s="275"/>
      <c r="BD11" s="288"/>
      <c r="BE11" s="289"/>
      <c r="BF11" s="289"/>
      <c r="BG11" s="289"/>
      <c r="BH11" s="289"/>
      <c r="BI11" s="289"/>
      <c r="BJ11" s="290"/>
      <c r="BK11" s="288"/>
      <c r="BL11" s="290"/>
      <c r="BM11" s="118"/>
      <c r="BN11" s="83"/>
      <c r="BO11" s="83" t="s">
        <v>140</v>
      </c>
      <c r="BP11" s="74" t="s">
        <v>119</v>
      </c>
      <c r="BQ11" s="74" t="s">
        <v>120</v>
      </c>
      <c r="BR11" s="74"/>
      <c r="BS11" s="74" t="s">
        <v>141</v>
      </c>
      <c r="BT11" s="74" t="s">
        <v>142</v>
      </c>
      <c r="BU11" s="74" t="s">
        <v>143</v>
      </c>
      <c r="BV11" s="74"/>
      <c r="BW11" s="74"/>
      <c r="BX11" s="74"/>
      <c r="BY11" s="74"/>
      <c r="BZ11" s="74"/>
      <c r="CA11" s="74"/>
      <c r="CB11" s="74"/>
      <c r="CC11" s="74"/>
      <c r="CD11" s="74"/>
      <c r="CE11" s="74"/>
      <c r="CF11" s="74"/>
      <c r="CG11" s="74"/>
      <c r="CH11" s="74"/>
    </row>
    <row r="12" spans="1:92" ht="5.25" customHeight="1">
      <c r="A12" s="241"/>
      <c r="B12" s="262"/>
      <c r="C12" s="242"/>
      <c r="D12" s="241"/>
      <c r="E12" s="262"/>
      <c r="F12" s="242"/>
      <c r="G12" s="241"/>
      <c r="H12" s="262"/>
      <c r="I12" s="262"/>
      <c r="J12" s="242"/>
      <c r="K12" s="241"/>
      <c r="L12" s="262"/>
      <c r="M12" s="262"/>
      <c r="N12" s="242"/>
      <c r="O12" s="241"/>
      <c r="P12" s="262"/>
      <c r="Q12" s="262"/>
      <c r="R12" s="242"/>
      <c r="S12" s="241"/>
      <c r="T12" s="262"/>
      <c r="U12" s="242"/>
      <c r="V12" s="241"/>
      <c r="W12" s="262"/>
      <c r="X12" s="242"/>
      <c r="Y12" s="305"/>
      <c r="Z12" s="306"/>
      <c r="AA12" s="306"/>
      <c r="AB12" s="307"/>
      <c r="AC12" s="241"/>
      <c r="AD12" s="242"/>
      <c r="AE12" s="241"/>
      <c r="AF12" s="242"/>
      <c r="AG12" s="241"/>
      <c r="AH12" s="242"/>
      <c r="AI12" s="241"/>
      <c r="AJ12" s="242"/>
      <c r="AK12" s="241"/>
      <c r="AL12" s="262"/>
      <c r="AM12" s="262"/>
      <c r="AN12" s="262"/>
      <c r="AO12" s="262"/>
      <c r="AP12" s="262"/>
      <c r="AQ12" s="262"/>
      <c r="AR12" s="262"/>
      <c r="AS12" s="242"/>
      <c r="AT12" s="51"/>
      <c r="AU12" s="51"/>
      <c r="AV12" s="51"/>
      <c r="AW12" s="111"/>
      <c r="AX12" s="52"/>
      <c r="AY12" s="4"/>
      <c r="AZ12" s="4"/>
      <c r="BA12" s="4"/>
      <c r="BB12" s="4"/>
      <c r="BC12" s="53"/>
      <c r="BD12" s="4"/>
      <c r="BE12" s="4"/>
      <c r="BF12" s="4"/>
      <c r="BG12" s="4"/>
      <c r="BH12" s="4"/>
      <c r="BI12" s="4"/>
      <c r="BJ12" s="4"/>
      <c r="BK12" s="4"/>
      <c r="BL12" s="53"/>
      <c r="BM12" s="4"/>
      <c r="BN12" s="80"/>
      <c r="BO12" s="80"/>
      <c r="BP12" s="74"/>
      <c r="BQ12" s="74"/>
      <c r="BR12" s="74"/>
      <c r="BS12" s="74"/>
      <c r="BT12" s="74"/>
      <c r="BU12" s="74"/>
      <c r="BV12" s="74"/>
      <c r="BW12" s="74"/>
      <c r="BX12" s="74"/>
      <c r="BY12" s="74"/>
      <c r="BZ12" s="74"/>
      <c r="CA12" s="74"/>
      <c r="CB12" s="74"/>
      <c r="CC12" s="74"/>
      <c r="CD12" s="74"/>
      <c r="CE12" s="74"/>
      <c r="CF12" s="74"/>
      <c r="CG12" s="74"/>
      <c r="CH12" s="74"/>
    </row>
    <row r="13" spans="1:92" ht="21" customHeight="1">
      <c r="A13" s="310">
        <f>DATE(AM4,AP4,1)</f>
        <v>42705</v>
      </c>
      <c r="B13" s="311"/>
      <c r="C13" s="312"/>
      <c r="D13" s="309">
        <f t="shared" ref="D13:D40" si="0">WEEKDAY(A13)</f>
        <v>5</v>
      </c>
      <c r="E13" s="309"/>
      <c r="F13" s="309"/>
      <c r="G13" s="254"/>
      <c r="H13" s="255"/>
      <c r="I13" s="255"/>
      <c r="J13" s="256"/>
      <c r="K13" s="282"/>
      <c r="L13" s="283"/>
      <c r="M13" s="283"/>
      <c r="N13" s="284"/>
      <c r="O13" s="282"/>
      <c r="P13" s="283"/>
      <c r="Q13" s="283"/>
      <c r="R13" s="284"/>
      <c r="S13" s="291">
        <f>IF(A13="","",IF(AND($BD$13&lt;&gt;"",$BI$13&lt;&gt;"",$BD$13&lt;O13,$BI$13&gt;K13),MIN($BI$13,O13)-MAX($BD$13,K13),0)+IF(AND($BD$14&lt;&gt;"",$BI$14&lt;&gt;"",$BD$14&lt;O13,$BI$14&gt;K13),MIN($BI$14,O13)-MAX($BD$14,K13),0)+IF(AND($BD$15&lt;&gt;"",$BI$15&lt;&gt;"",$BD$15&lt;O13,$BI$15&gt;K13),MIN($BI$15,O13)-MAX($BD$15,K13),0)+IF(AND($BD$16&lt;&gt;"",$BI$16&lt;&gt;"",$BD$16&lt;O13,$BI$16&gt;K13),MIN($BI$16,O13)-MAX($BD$16,K13),0)+IF(AND($BD$17&lt;&gt;"",$BI$17&lt;&gt;"",$BD$17&lt;O13,$BI$17&gt;K13),MIN($BI$17,O13)-MAX($BD$17,K13),0))</f>
        <v>0</v>
      </c>
      <c r="T13" s="292"/>
      <c r="U13" s="293"/>
      <c r="V13" s="257">
        <f>IF(祝日!A34=1,TIME(0,$BD$8 * 60,0),"")</f>
        <v>0.33333333333333331</v>
      </c>
      <c r="W13" s="258"/>
      <c r="X13" s="259"/>
      <c r="Y13" s="234">
        <f>IF(K13="",IF(O13="",IF(V13="","",祝日!J34-S13),祝日!J34-S13),祝日!J34-S13)</f>
        <v>0</v>
      </c>
      <c r="Z13" s="235"/>
      <c r="AA13" s="235"/>
      <c r="AB13" s="236"/>
      <c r="AC13" s="234">
        <f xml:space="preserve"> IF(OR(BS13,BT13,BU13),"",IF(IF(Y13="",0,Y13)&lt;=IF(V13="",0,V13),0,IF(Y13="",0,Y13)-IF(V13="",0,V13))-IF(AE13="",0,AE13))</f>
        <v>0</v>
      </c>
      <c r="AD13" s="236"/>
      <c r="AE13" s="234">
        <f>IF(OR(BS13,BT13,BU13),"",IF(O13&lt;=SetData!$C$40,0,O13-SetData!$C$40))</f>
        <v>0</v>
      </c>
      <c r="AF13" s="236"/>
      <c r="AG13" s="234" t="str">
        <f>IF(OR(BS13,BT13,BU13),Y13-AI13,"")</f>
        <v/>
      </c>
      <c r="AH13" s="236"/>
      <c r="AI13" s="234" t="str">
        <f>IF(OR(BS13,BT13,BU13),IF(O13&lt;=SetData!$C$40,0,O13-SetData!$C$40),"")</f>
        <v/>
      </c>
      <c r="AJ13" s="236"/>
      <c r="AK13" s="244"/>
      <c r="AL13" s="243"/>
      <c r="AM13" s="243"/>
      <c r="AN13" s="243"/>
      <c r="AO13" s="243"/>
      <c r="AP13" s="243"/>
      <c r="AQ13" s="243"/>
      <c r="AR13" s="243"/>
      <c r="AS13" s="243"/>
      <c r="AT13" s="51"/>
      <c r="AU13" s="4" t="str">
        <f>IF(ISNA( VLOOKUP(Y13,SetData!$D$3:$F$14,3,FALSE)),"",VLOOKUP(Y13,SetData!$D$3:$F$14,3,FALSE))</f>
        <v/>
      </c>
      <c r="AV13" s="4" t="str">
        <f>IF(OR(AU13=6,AU13=7,AU13=8,AU13=9),IF(ISNA( VLOOKUP(Y13,SetData!$D$3:$F$14,2,FALSE)),"",VLOOKUP(Y13,SetData!$D$3:$F$14,2,FALSE)),"")</f>
        <v/>
      </c>
      <c r="AW13" s="111"/>
      <c r="AX13" s="319" t="s">
        <v>79</v>
      </c>
      <c r="AY13" s="320"/>
      <c r="AZ13" s="320"/>
      <c r="BA13" s="320"/>
      <c r="BB13" s="320"/>
      <c r="BC13" s="322"/>
      <c r="BD13" s="278">
        <v>0.50694444444444442</v>
      </c>
      <c r="BE13" s="278"/>
      <c r="BF13" s="278"/>
      <c r="BG13" s="279"/>
      <c r="BH13" s="90" t="s">
        <v>78</v>
      </c>
      <c r="BI13" s="280">
        <v>0.53819444444444442</v>
      </c>
      <c r="BJ13" s="281"/>
      <c r="BK13" s="281"/>
      <c r="BL13" s="281"/>
      <c r="BM13" s="118"/>
      <c r="BN13" s="84">
        <f>BI13-BD13</f>
        <v>3.125E-2</v>
      </c>
      <c r="BO13" s="83" t="b">
        <f t="shared" ref="BO13:BO43" si="1">IFERROR(IF(WEEKDAY($A13)=7,TRUE,FALSE),FALSE)</f>
        <v>0</v>
      </c>
      <c r="BP13" s="83" t="b">
        <f t="shared" ref="BP13:BP43" si="2">IFERROR(IF(WEEKDAY($A13)=1,TRUE,FALSE),FALSE)</f>
        <v>0</v>
      </c>
      <c r="BQ13" s="85" t="b">
        <f t="shared" ref="BQ13:BQ43" si="3">IF(COUNTIF(HOLIDAY,$A13)&gt;0,TRUE,FALSE)</f>
        <v>0</v>
      </c>
      <c r="BR13" s="74" t="b">
        <f>OR(BO13,BQ13)</f>
        <v>0</v>
      </c>
      <c r="BS13" s="74" t="b">
        <f>AND(AND(Y13&gt;0,Y13&lt;&gt;""),BO13)</f>
        <v>0</v>
      </c>
      <c r="BT13" s="74" t="b">
        <f>AND(AND(Y13&gt;0,Y13&lt;&gt;""),BP13)</f>
        <v>0</v>
      </c>
      <c r="BU13" s="74" t="b">
        <f>AND(AND(Y13&gt;0,Y13&lt;&gt;""),BR13)</f>
        <v>0</v>
      </c>
      <c r="BV13" s="74"/>
      <c r="BW13" s="74" t="b">
        <f>AND(OR(BT13,BU13), NOT(BS13))</f>
        <v>0</v>
      </c>
      <c r="BX13" s="74"/>
      <c r="BY13" s="74"/>
      <c r="BZ13" s="74"/>
      <c r="CA13" s="74"/>
      <c r="CB13" s="82" t="str">
        <f t="shared" ref="CB13:CB43" si="4">IF(K13&gt;始業時間,K13-始業時間,"")</f>
        <v/>
      </c>
      <c r="CC13" s="74"/>
      <c r="CD13" s="74"/>
      <c r="CE13" s="74"/>
      <c r="CF13" s="74"/>
      <c r="CG13" s="74"/>
      <c r="CH13" s="74"/>
    </row>
    <row r="14" spans="1:92" ht="21" customHeight="1">
      <c r="A14" s="310">
        <f>IF(A13="","",IF(MONTH(A13+1)&lt;&gt;MONTH(A13),"",A13+1))</f>
        <v>42706</v>
      </c>
      <c r="B14" s="311"/>
      <c r="C14" s="312"/>
      <c r="D14" s="309">
        <f t="shared" si="0"/>
        <v>6</v>
      </c>
      <c r="E14" s="309"/>
      <c r="F14" s="309"/>
      <c r="G14" s="254"/>
      <c r="H14" s="255"/>
      <c r="I14" s="255"/>
      <c r="J14" s="256"/>
      <c r="K14" s="282"/>
      <c r="L14" s="283"/>
      <c r="M14" s="283"/>
      <c r="N14" s="284"/>
      <c r="O14" s="282"/>
      <c r="P14" s="283"/>
      <c r="Q14" s="283"/>
      <c r="R14" s="284"/>
      <c r="S14" s="291">
        <f>IF(A14="","",IF(AND($BD$13&lt;&gt;"",$BI$13&lt;&gt;"",$BD$13&lt;O14,$BI$13&gt;K14),MIN($BI$13,O14)-MAX($BD$13,K14),0)+IF(AND($BD$14&lt;&gt;"",$BI$14&lt;&gt;"",$BD$14&lt;O14,$BI$14&gt;K14),MIN($BI$14,O14)-MAX($BD$14,K14),0)+IF(AND($BD$15&lt;&gt;"",$BI$15&lt;&gt;"",$BD$15&lt;O14,$BI$15&gt;K14),MIN($BI$15,O14)-MAX($BD$15,K14),0)+IF(AND($BD$16&lt;&gt;"",$BI$16&lt;&gt;"",$BD$16&lt;O14,$BI$16&gt;K14),MIN($BI$16,O14)-MAX($BD$16,K14),0)+IF(AND($BD$17&lt;&gt;"",$BI$17&lt;&gt;"",$BD$17&lt;O14,$BI$17&gt;K14),MIN($BI$17,O14)-MAX($BD$17,K14),0))</f>
        <v>0</v>
      </c>
      <c r="T14" s="292"/>
      <c r="U14" s="293"/>
      <c r="V14" s="257">
        <f>IF(祝日!A35=1,TIME(0,$BD$8 * 60,0),"")</f>
        <v>0.33333333333333331</v>
      </c>
      <c r="W14" s="258"/>
      <c r="X14" s="259"/>
      <c r="Y14" s="234">
        <f>IF(K14="",IF(O14="",IF(V14="","",祝日!J35-S14),祝日!J35-S14),祝日!J35-S14)</f>
        <v>0</v>
      </c>
      <c r="Z14" s="235"/>
      <c r="AA14" s="235"/>
      <c r="AB14" s="236"/>
      <c r="AC14" s="234">
        <f t="shared" ref="AC14:AC43" si="5" xml:space="preserve"> IF(OR(BS14,BT14,BU14),"",IF(IF(Y14="",0,Y14)&lt;=IF(V14="",0,V14),0,IF(Y14="",0,Y14)-IF(V14="",0,V14))-IF(AE14="",0,AE14))</f>
        <v>0</v>
      </c>
      <c r="AD14" s="236"/>
      <c r="AE14" s="234">
        <f>IF(OR(BS14,BT14,BU14),"",IF(O14&lt;=SetData!$C$40,0,O14-SetData!$C$40))</f>
        <v>0</v>
      </c>
      <c r="AF14" s="236"/>
      <c r="AG14" s="234" t="str">
        <f t="shared" ref="AG14:AG43" si="6">IF(OR(BS14,BT14,BU14),Y14-AI14,"")</f>
        <v/>
      </c>
      <c r="AH14" s="236"/>
      <c r="AI14" s="234" t="str">
        <f>IF(OR(BS14,BT14,BU14),IF(O14&lt;=SetData!$C$40,0,O14-SetData!$C$40),"")</f>
        <v/>
      </c>
      <c r="AJ14" s="236"/>
      <c r="AK14" s="244"/>
      <c r="AL14" s="243"/>
      <c r="AM14" s="243"/>
      <c r="AN14" s="243"/>
      <c r="AO14" s="243"/>
      <c r="AP14" s="243"/>
      <c r="AQ14" s="243"/>
      <c r="AR14" s="243"/>
      <c r="AS14" s="243"/>
      <c r="AT14" s="51"/>
      <c r="AU14" s="1" t="str">
        <f>IF(ISNA( VLOOKUP(Y14,SetData!$D$3:$F$14,3,FALSE)),"",VLOOKUP(Y14,SetData!$D$3:$F$14,3,FALSE))</f>
        <v/>
      </c>
      <c r="AV14" s="1" t="str">
        <f>IF(OR(AU14=6,AU14=7,AU14=8,AU14=9),IF(ISNA( VLOOKUP(Y14,SetData!$D$3:$F$14,2,FALSE)),"",VLOOKUP(Y14,SetData!$D$3:$F$14,2,FALSE)),"")</f>
        <v/>
      </c>
      <c r="AW14" s="109"/>
      <c r="AX14" s="273" t="s">
        <v>80</v>
      </c>
      <c r="AY14" s="274"/>
      <c r="AZ14" s="274"/>
      <c r="BA14" s="274"/>
      <c r="BB14" s="274"/>
      <c r="BC14" s="275"/>
      <c r="BD14" s="278"/>
      <c r="BE14" s="278"/>
      <c r="BF14" s="278"/>
      <c r="BG14" s="279"/>
      <c r="BH14" s="90" t="s">
        <v>78</v>
      </c>
      <c r="BI14" s="280"/>
      <c r="BJ14" s="281"/>
      <c r="BK14" s="281"/>
      <c r="BL14" s="281"/>
      <c r="BM14" s="118"/>
      <c r="BN14" s="84">
        <f>BI14-BD14</f>
        <v>0</v>
      </c>
      <c r="BO14" s="83" t="b">
        <f t="shared" si="1"/>
        <v>0</v>
      </c>
      <c r="BP14" s="83" t="b">
        <f t="shared" si="2"/>
        <v>0</v>
      </c>
      <c r="BQ14" s="85" t="b">
        <f>IF(COUNTIF(HOLIDAY,$A14)&gt;0,TRUE,FALSE)</f>
        <v>0</v>
      </c>
      <c r="BR14" s="74" t="b">
        <f t="shared" ref="BR14:BR43" si="7">OR(BO14,BQ14)</f>
        <v>0</v>
      </c>
      <c r="BS14" s="74" t="b">
        <f t="shared" ref="BS14:BS43" si="8">AND(AND(Y14&gt;0,Y14&lt;&gt;""),BO14)</f>
        <v>0</v>
      </c>
      <c r="BT14" s="74" t="b">
        <f t="shared" ref="BT14:BT43" si="9">AND(AND(Y14&gt;0,Y14&lt;&gt;""),BP14)</f>
        <v>0</v>
      </c>
      <c r="BU14" s="74" t="b">
        <f t="shared" ref="BU14:BU43" si="10">AND(AND(Y14&gt;0,Y14&lt;&gt;""),BR14)</f>
        <v>0</v>
      </c>
      <c r="BV14" s="74"/>
      <c r="BW14" s="74" t="b">
        <f t="shared" ref="BW14:BW43" si="11">AND(OR(BT14,BU14), NOT(BS14))</f>
        <v>0</v>
      </c>
      <c r="BX14" s="74"/>
      <c r="BY14" s="74"/>
      <c r="BZ14" s="86"/>
      <c r="CA14" s="74"/>
      <c r="CB14" s="82" t="str">
        <f t="shared" si="4"/>
        <v/>
      </c>
      <c r="CC14" s="74"/>
      <c r="CD14" s="74"/>
      <c r="CE14" s="74"/>
      <c r="CF14" s="74"/>
      <c r="CG14" s="74"/>
      <c r="CH14" s="74"/>
    </row>
    <row r="15" spans="1:92" ht="21" customHeight="1">
      <c r="A15" s="310">
        <f t="shared" ref="A15:A43" si="12">IF(A14="","",IF(MONTH(A14+1)&lt;&gt;MONTH(A14),"",A14+1))</f>
        <v>42707</v>
      </c>
      <c r="B15" s="311"/>
      <c r="C15" s="312"/>
      <c r="D15" s="309">
        <f t="shared" si="0"/>
        <v>7</v>
      </c>
      <c r="E15" s="309"/>
      <c r="F15" s="309"/>
      <c r="G15" s="254"/>
      <c r="H15" s="255"/>
      <c r="I15" s="255"/>
      <c r="J15" s="256"/>
      <c r="K15" s="282"/>
      <c r="L15" s="283"/>
      <c r="M15" s="283"/>
      <c r="N15" s="284"/>
      <c r="O15" s="282"/>
      <c r="P15" s="283"/>
      <c r="Q15" s="283"/>
      <c r="R15" s="284"/>
      <c r="S15" s="291">
        <f t="shared" ref="S15:S43" si="13">IF(A15="","",IF(AND($BD$13&lt;&gt;"",$BI$13&lt;&gt;"",$BD$13&lt;O15,$BI$13&gt;K15),MIN($BI$13,O15)-MAX($BD$13,K15),0)+IF(AND($BD$14&lt;&gt;"",$BI$14&lt;&gt;"",$BD$14&lt;O15,$BI$14&gt;K15),MIN($BI$14,O15)-MAX($BD$14,K15),0)+IF(AND($BD$15&lt;&gt;"",$BI$15&lt;&gt;"",$BD$15&lt;O15,$BI$15&gt;K15),MIN($BI$15,O15)-MAX($BD$15,K15),0)+IF(AND($BD$16&lt;&gt;"",$BI$16&lt;&gt;"",$BD$16&lt;O15,$BI$16&gt;K15),MIN($BI$16,O15)-MAX($BD$16,K15),0)+IF(AND($BD$17&lt;&gt;"",$BI$17&lt;&gt;"",$BD$17&lt;O15,$BI$17&gt;K15),MIN($BI$17,O15)-MAX($BD$17,K15),0))</f>
        <v>0</v>
      </c>
      <c r="T15" s="292"/>
      <c r="U15" s="293"/>
      <c r="V15" s="257" t="str">
        <f>IF(祝日!A36=1,TIME(0,$BD$8 * 60,0),"")</f>
        <v/>
      </c>
      <c r="W15" s="258"/>
      <c r="X15" s="259"/>
      <c r="Y15" s="234" t="str">
        <f>IF(K15="",IF(O15="",IF(V15="","",祝日!J36-S15),祝日!J36-S15),祝日!J36-S15)</f>
        <v/>
      </c>
      <c r="Z15" s="235"/>
      <c r="AA15" s="235"/>
      <c r="AB15" s="236"/>
      <c r="AC15" s="234">
        <f t="shared" si="5"/>
        <v>0</v>
      </c>
      <c r="AD15" s="236"/>
      <c r="AE15" s="234">
        <f>IF(OR(BS15,BT15,BU15),"",IF(O15&lt;=SetData!$C$40,0,O15-SetData!$C$40))</f>
        <v>0</v>
      </c>
      <c r="AF15" s="236"/>
      <c r="AG15" s="234" t="str">
        <f t="shared" si="6"/>
        <v/>
      </c>
      <c r="AH15" s="236"/>
      <c r="AI15" s="234" t="str">
        <f>IF(OR(BS15,BT15,BU15),IF(O15&lt;=SetData!$C$40,0,O15-SetData!$C$40),"")</f>
        <v/>
      </c>
      <c r="AJ15" s="236"/>
      <c r="AK15" s="243"/>
      <c r="AL15" s="243"/>
      <c r="AM15" s="243"/>
      <c r="AN15" s="243"/>
      <c r="AO15" s="243"/>
      <c r="AP15" s="243"/>
      <c r="AQ15" s="243"/>
      <c r="AR15" s="243"/>
      <c r="AS15" s="243"/>
      <c r="AT15" s="51"/>
      <c r="AU15" s="1" t="str">
        <f>IF(ISNA( VLOOKUP(Y15,SetData!$D$3:$F$14,3,FALSE)),"",VLOOKUP(Y15,SetData!$D$3:$F$14,3,FALSE))</f>
        <v/>
      </c>
      <c r="AV15" s="1" t="str">
        <f>IF(OR(AU15=6,AU15=7,AU15=8,AU15=9),IF(ISNA( VLOOKUP(Y15,SetData!$D$3:$F$14,2,FALSE)),"",VLOOKUP(Y15,SetData!$D$3:$F$14,2,FALSE)),"")</f>
        <v/>
      </c>
      <c r="AW15" s="153"/>
      <c r="AX15" s="319" t="s">
        <v>81</v>
      </c>
      <c r="AY15" s="320"/>
      <c r="AZ15" s="320"/>
      <c r="BA15" s="320"/>
      <c r="BB15" s="320"/>
      <c r="BC15" s="320"/>
      <c r="BD15" s="321"/>
      <c r="BE15" s="278"/>
      <c r="BF15" s="278"/>
      <c r="BG15" s="279"/>
      <c r="BH15" s="90" t="s">
        <v>78</v>
      </c>
      <c r="BI15" s="280"/>
      <c r="BJ15" s="281"/>
      <c r="BK15" s="281"/>
      <c r="BL15" s="281"/>
      <c r="BM15" s="118"/>
      <c r="BN15" s="84">
        <f>BI15-BD15</f>
        <v>0</v>
      </c>
      <c r="BO15" s="83" t="b">
        <f t="shared" si="1"/>
        <v>1</v>
      </c>
      <c r="BP15" s="83" t="b">
        <f t="shared" si="2"/>
        <v>0</v>
      </c>
      <c r="BQ15" s="85" t="b">
        <f t="shared" si="3"/>
        <v>0</v>
      </c>
      <c r="BR15" s="74" t="b">
        <f t="shared" si="7"/>
        <v>1</v>
      </c>
      <c r="BS15" s="74" t="b">
        <f t="shared" si="8"/>
        <v>0</v>
      </c>
      <c r="BT15" s="74" t="b">
        <f t="shared" si="9"/>
        <v>0</v>
      </c>
      <c r="BU15" s="74" t="b">
        <f t="shared" si="10"/>
        <v>0</v>
      </c>
      <c r="BV15" s="74"/>
      <c r="BW15" s="74" t="b">
        <f t="shared" si="11"/>
        <v>0</v>
      </c>
      <c r="BX15" s="74"/>
      <c r="BY15" s="74"/>
      <c r="BZ15" s="87"/>
      <c r="CA15" s="74"/>
      <c r="CB15" s="82" t="str">
        <f t="shared" si="4"/>
        <v/>
      </c>
      <c r="CC15" s="74"/>
      <c r="CD15" s="74"/>
      <c r="CE15" s="74"/>
      <c r="CF15" s="74"/>
      <c r="CG15" s="74"/>
      <c r="CH15" s="74"/>
    </row>
    <row r="16" spans="1:92" ht="21" customHeight="1">
      <c r="A16" s="310">
        <f t="shared" si="12"/>
        <v>42708</v>
      </c>
      <c r="B16" s="311"/>
      <c r="C16" s="312"/>
      <c r="D16" s="309">
        <f t="shared" si="0"/>
        <v>1</v>
      </c>
      <c r="E16" s="309"/>
      <c r="F16" s="309"/>
      <c r="G16" s="254"/>
      <c r="H16" s="255"/>
      <c r="I16" s="255"/>
      <c r="J16" s="256"/>
      <c r="K16" s="282"/>
      <c r="L16" s="283"/>
      <c r="M16" s="283"/>
      <c r="N16" s="284"/>
      <c r="O16" s="282"/>
      <c r="P16" s="283"/>
      <c r="Q16" s="283"/>
      <c r="R16" s="284"/>
      <c r="S16" s="291">
        <f t="shared" si="13"/>
        <v>0</v>
      </c>
      <c r="T16" s="292"/>
      <c r="U16" s="293"/>
      <c r="V16" s="257" t="str">
        <f>IF(祝日!A37=1,TIME(0,$BD$8 * 60,0),"")</f>
        <v/>
      </c>
      <c r="W16" s="258"/>
      <c r="X16" s="259"/>
      <c r="Y16" s="234" t="str">
        <f>IF(K16="",IF(O16="",IF(V16="","",祝日!J37-S16),祝日!J37-S16),祝日!J37-S16)</f>
        <v/>
      </c>
      <c r="Z16" s="235"/>
      <c r="AA16" s="235"/>
      <c r="AB16" s="236"/>
      <c r="AC16" s="234">
        <f t="shared" si="5"/>
        <v>0</v>
      </c>
      <c r="AD16" s="236"/>
      <c r="AE16" s="234">
        <f>IF(OR(BS16,BT16,BU16),"",IF(O16&lt;=SetData!$C$40,0,O16-SetData!$C$40))</f>
        <v>0</v>
      </c>
      <c r="AF16" s="236"/>
      <c r="AG16" s="234" t="str">
        <f t="shared" si="6"/>
        <v/>
      </c>
      <c r="AH16" s="236"/>
      <c r="AI16" s="234" t="str">
        <f>IF(OR(BS16,BT16,BU16),IF(O16&lt;=SetData!$C$40,0,O16-SetData!$C$40),"")</f>
        <v/>
      </c>
      <c r="AJ16" s="236"/>
      <c r="AK16" s="243"/>
      <c r="AL16" s="243"/>
      <c r="AM16" s="243"/>
      <c r="AN16" s="243"/>
      <c r="AO16" s="243"/>
      <c r="AP16" s="243"/>
      <c r="AQ16" s="243"/>
      <c r="AR16" s="243"/>
      <c r="AS16" s="243"/>
      <c r="AT16" s="51"/>
      <c r="AU16" s="1" t="str">
        <f>IF(ISNA( VLOOKUP(Y16,SetData!$D$3:$F$14,3,FALSE)),"",VLOOKUP(Y16,SetData!$D$3:$F$14,3,FALSE))</f>
        <v/>
      </c>
      <c r="AV16" s="1" t="str">
        <f>IF(OR(AU16=6,AU16=7,AU16=8,AU16=9),IF(ISNA( VLOOKUP(Y16,SetData!$D$3:$F$14,2,FALSE)),"",VLOOKUP(Y16,SetData!$D$3:$F$14,2,FALSE)),"")</f>
        <v/>
      </c>
      <c r="AW16" s="109"/>
      <c r="AX16" s="319" t="s">
        <v>84</v>
      </c>
      <c r="AY16" s="320"/>
      <c r="AZ16" s="320"/>
      <c r="BA16" s="320"/>
      <c r="BB16" s="320"/>
      <c r="BC16" s="320"/>
      <c r="BD16" s="321"/>
      <c r="BE16" s="278"/>
      <c r="BF16" s="278"/>
      <c r="BG16" s="279"/>
      <c r="BH16" s="90" t="s">
        <v>78</v>
      </c>
      <c r="BI16" s="280"/>
      <c r="BJ16" s="281"/>
      <c r="BK16" s="281"/>
      <c r="BL16" s="281"/>
      <c r="BM16" s="118"/>
      <c r="BN16" s="84">
        <f>BI16-BD16</f>
        <v>0</v>
      </c>
      <c r="BO16" s="83" t="b">
        <f t="shared" si="1"/>
        <v>0</v>
      </c>
      <c r="BP16" s="83" t="b">
        <f t="shared" si="2"/>
        <v>1</v>
      </c>
      <c r="BQ16" s="85" t="b">
        <f t="shared" si="3"/>
        <v>0</v>
      </c>
      <c r="BR16" s="74" t="b">
        <f t="shared" si="7"/>
        <v>0</v>
      </c>
      <c r="BS16" s="74" t="b">
        <f t="shared" si="8"/>
        <v>0</v>
      </c>
      <c r="BT16" s="74" t="b">
        <f t="shared" si="9"/>
        <v>0</v>
      </c>
      <c r="BU16" s="74" t="b">
        <f t="shared" si="10"/>
        <v>0</v>
      </c>
      <c r="BV16" s="74"/>
      <c r="BW16" s="74" t="b">
        <f t="shared" si="11"/>
        <v>0</v>
      </c>
      <c r="BX16" s="74"/>
      <c r="BY16" s="74"/>
      <c r="BZ16" s="87"/>
      <c r="CA16" s="74"/>
      <c r="CB16" s="82" t="str">
        <f t="shared" si="4"/>
        <v/>
      </c>
      <c r="CC16" s="74"/>
      <c r="CD16" s="74"/>
      <c r="CE16" s="74"/>
      <c r="CF16" s="74"/>
      <c r="CG16" s="74"/>
      <c r="CH16" s="74"/>
    </row>
    <row r="17" spans="1:92" ht="21" customHeight="1">
      <c r="A17" s="310">
        <f t="shared" si="12"/>
        <v>42709</v>
      </c>
      <c r="B17" s="311"/>
      <c r="C17" s="312"/>
      <c r="D17" s="309">
        <f t="shared" si="0"/>
        <v>2</v>
      </c>
      <c r="E17" s="309"/>
      <c r="F17" s="309"/>
      <c r="G17" s="254"/>
      <c r="H17" s="255"/>
      <c r="I17" s="255"/>
      <c r="J17" s="256"/>
      <c r="K17" s="282"/>
      <c r="L17" s="283"/>
      <c r="M17" s="283"/>
      <c r="N17" s="284"/>
      <c r="O17" s="282"/>
      <c r="P17" s="283"/>
      <c r="Q17" s="283"/>
      <c r="R17" s="284"/>
      <c r="S17" s="291">
        <f t="shared" si="13"/>
        <v>0</v>
      </c>
      <c r="T17" s="292"/>
      <c r="U17" s="293"/>
      <c r="V17" s="257">
        <f>IF(祝日!A38=1,TIME(0,$BD$8 * 60,0),"")</f>
        <v>0.33333333333333331</v>
      </c>
      <c r="W17" s="258"/>
      <c r="X17" s="259"/>
      <c r="Y17" s="234">
        <f>IF(K17="",IF(O17="",IF(V17="","",祝日!J38-S17),祝日!J38-S17),祝日!J38-S17)</f>
        <v>0</v>
      </c>
      <c r="Z17" s="235"/>
      <c r="AA17" s="235"/>
      <c r="AB17" s="236"/>
      <c r="AC17" s="234">
        <f t="shared" si="5"/>
        <v>0</v>
      </c>
      <c r="AD17" s="236"/>
      <c r="AE17" s="234">
        <f>IF(OR(BS17,BT17,BU17),"",IF(O17&lt;=SetData!$C$40,0,O17-SetData!$C$40))</f>
        <v>0</v>
      </c>
      <c r="AF17" s="236"/>
      <c r="AG17" s="234" t="str">
        <f t="shared" si="6"/>
        <v/>
      </c>
      <c r="AH17" s="236"/>
      <c r="AI17" s="234" t="str">
        <f>IF(OR(BS17,BT17,BU17),IF(O17&lt;=SetData!$C$40,0,O17-SetData!$C$40),"")</f>
        <v/>
      </c>
      <c r="AJ17" s="236"/>
      <c r="AK17" s="243"/>
      <c r="AL17" s="243"/>
      <c r="AM17" s="243"/>
      <c r="AN17" s="243"/>
      <c r="AO17" s="243"/>
      <c r="AP17" s="243"/>
      <c r="AQ17" s="243"/>
      <c r="AR17" s="243"/>
      <c r="AS17" s="243"/>
      <c r="AT17" s="51"/>
      <c r="AU17" s="1" t="str">
        <f>IF(ISNA( VLOOKUP(Y17,SetData!$D$3:$F$14,3,FALSE)),"",VLOOKUP(Y17,SetData!$D$3:$F$14,3,FALSE))</f>
        <v/>
      </c>
      <c r="AV17" s="1" t="str">
        <f>IF(OR(AU17=6,AU17=7,AU17=8,AU17=9),IF(ISNA( VLOOKUP(Y17,SetData!$D$3:$F$14,2,FALSE)),"",VLOOKUP(Y17,SetData!$D$3:$F$14,2,FALSE)),"")</f>
        <v/>
      </c>
      <c r="AW17" s="109"/>
      <c r="AX17" s="319" t="s">
        <v>85</v>
      </c>
      <c r="AY17" s="320"/>
      <c r="AZ17" s="320"/>
      <c r="BA17" s="320"/>
      <c r="BB17" s="320"/>
      <c r="BC17" s="320"/>
      <c r="BD17" s="321"/>
      <c r="BE17" s="278"/>
      <c r="BF17" s="278"/>
      <c r="BG17" s="279"/>
      <c r="BH17" s="90" t="s">
        <v>78</v>
      </c>
      <c r="BI17" s="280"/>
      <c r="BJ17" s="281"/>
      <c r="BK17" s="281"/>
      <c r="BL17" s="281"/>
      <c r="BM17" s="118"/>
      <c r="BN17" s="84">
        <f>BI17-BD17</f>
        <v>0</v>
      </c>
      <c r="BO17" s="83" t="b">
        <f t="shared" si="1"/>
        <v>0</v>
      </c>
      <c r="BP17" s="83" t="b">
        <f t="shared" si="2"/>
        <v>0</v>
      </c>
      <c r="BQ17" s="85" t="b">
        <f t="shared" si="3"/>
        <v>0</v>
      </c>
      <c r="BR17" s="74" t="b">
        <f t="shared" si="7"/>
        <v>0</v>
      </c>
      <c r="BS17" s="74" t="b">
        <f t="shared" si="8"/>
        <v>0</v>
      </c>
      <c r="BT17" s="74" t="b">
        <f t="shared" si="9"/>
        <v>0</v>
      </c>
      <c r="BU17" s="74" t="b">
        <f t="shared" si="10"/>
        <v>0</v>
      </c>
      <c r="BV17" s="74"/>
      <c r="BW17" s="74" t="b">
        <f t="shared" si="11"/>
        <v>0</v>
      </c>
      <c r="BX17" s="74"/>
      <c r="BY17" s="74"/>
      <c r="BZ17" s="87"/>
      <c r="CA17" s="74"/>
      <c r="CB17" s="82" t="str">
        <f t="shared" si="4"/>
        <v/>
      </c>
      <c r="CC17" s="74"/>
      <c r="CD17" s="74"/>
      <c r="CE17" s="74"/>
      <c r="CF17" s="74"/>
      <c r="CG17" s="74"/>
      <c r="CH17" s="74"/>
    </row>
    <row r="18" spans="1:92" s="4" customFormat="1" ht="21" customHeight="1">
      <c r="A18" s="310">
        <f t="shared" si="12"/>
        <v>42710</v>
      </c>
      <c r="B18" s="311"/>
      <c r="C18" s="312"/>
      <c r="D18" s="309">
        <f t="shared" si="0"/>
        <v>3</v>
      </c>
      <c r="E18" s="309"/>
      <c r="F18" s="309"/>
      <c r="G18" s="254"/>
      <c r="H18" s="255"/>
      <c r="I18" s="255"/>
      <c r="J18" s="256"/>
      <c r="K18" s="282"/>
      <c r="L18" s="283"/>
      <c r="M18" s="283"/>
      <c r="N18" s="284"/>
      <c r="O18" s="282"/>
      <c r="P18" s="283"/>
      <c r="Q18" s="283"/>
      <c r="R18" s="284"/>
      <c r="S18" s="291">
        <f t="shared" si="13"/>
        <v>0</v>
      </c>
      <c r="T18" s="292"/>
      <c r="U18" s="293"/>
      <c r="V18" s="257">
        <f>IF(祝日!A39=1,TIME(0,$BD$8 * 60,0),"")</f>
        <v>0.33333333333333331</v>
      </c>
      <c r="W18" s="258"/>
      <c r="X18" s="259"/>
      <c r="Y18" s="234">
        <f>IF(K18="",IF(O18="",IF(V18="","",祝日!J39-S18),祝日!J39-S18),祝日!J39-S18)</f>
        <v>0</v>
      </c>
      <c r="Z18" s="235"/>
      <c r="AA18" s="235"/>
      <c r="AB18" s="236"/>
      <c r="AC18" s="234">
        <f t="shared" si="5"/>
        <v>0</v>
      </c>
      <c r="AD18" s="236"/>
      <c r="AE18" s="234">
        <f>IF(OR(BS18,BT18,BU18),"",IF(O18&lt;=SetData!$C$40,0,O18-SetData!$C$40))</f>
        <v>0</v>
      </c>
      <c r="AF18" s="236"/>
      <c r="AG18" s="234" t="str">
        <f t="shared" si="6"/>
        <v/>
      </c>
      <c r="AH18" s="236"/>
      <c r="AI18" s="234" t="str">
        <f>IF(OR(BS18,BT18,BU18),IF(O18&lt;=SetData!$C$40,0,O18-SetData!$C$40),"")</f>
        <v/>
      </c>
      <c r="AJ18" s="236"/>
      <c r="AK18" s="244"/>
      <c r="AL18" s="243"/>
      <c r="AM18" s="243"/>
      <c r="AN18" s="243"/>
      <c r="AO18" s="243"/>
      <c r="AP18" s="243"/>
      <c r="AQ18" s="243"/>
      <c r="AR18" s="243"/>
      <c r="AS18" s="243"/>
      <c r="AT18" s="51"/>
      <c r="AU18" s="1" t="str">
        <f>IF(ISNA( VLOOKUP(Y18,SetData!$D$3:$F$14,3,FALSE)),"",VLOOKUP(Y18,SetData!$D$3:$F$14,3,FALSE))</f>
        <v/>
      </c>
      <c r="AV18" s="1" t="str">
        <f>IF(OR(AU18=6,AU18=7,AU18=8,AU18=9),IF(ISNA( VLOOKUP(Y18,SetData!$D$3:$F$14,2,FALSE)),"",VLOOKUP(Y18,SetData!$D$3:$F$14,2,FALSE)),"")</f>
        <v/>
      </c>
      <c r="AX18" s="1" t="str">
        <f>IF(ISNA( VLOOKUP(AC18,SetData!$D$3:$F$14,3,FALSE)),"",VLOOKUP(AC18,SetData!$D$3:$F$14,3,FALSE))</f>
        <v/>
      </c>
      <c r="AY18" s="1" t="str">
        <f>IF(OR(AX18=6,AX18=7,AX18=8,AX18=9),IF(ISNA( VLOOKUP(AC18,SetData!$D$3:$F$14,2,FALSE)),"",VLOOKUP(AC18,SetData!$D$3:$F$14,2,FALSE)),"")</f>
        <v/>
      </c>
      <c r="BA18" s="110"/>
      <c r="BB18" s="110"/>
      <c r="BC18" s="110"/>
      <c r="BD18" s="159"/>
      <c r="BE18" s="159"/>
      <c r="BF18" s="159"/>
      <c r="BG18" s="159"/>
      <c r="BH18" s="159"/>
      <c r="BI18" s="159"/>
      <c r="BJ18" s="111"/>
      <c r="BK18" s="111"/>
      <c r="BL18" s="111"/>
      <c r="BM18" s="121"/>
      <c r="BN18" s="88">
        <f>SUM(BN13:BN17)</f>
        <v>3.125E-2</v>
      </c>
      <c r="BO18" s="83" t="b">
        <f t="shared" si="1"/>
        <v>0</v>
      </c>
      <c r="BP18" s="83" t="b">
        <f t="shared" si="2"/>
        <v>0</v>
      </c>
      <c r="BQ18" s="85" t="b">
        <f t="shared" si="3"/>
        <v>0</v>
      </c>
      <c r="BR18" s="74" t="b">
        <f t="shared" si="7"/>
        <v>0</v>
      </c>
      <c r="BS18" s="74" t="b">
        <f t="shared" si="8"/>
        <v>0</v>
      </c>
      <c r="BT18" s="74" t="b">
        <f t="shared" si="9"/>
        <v>0</v>
      </c>
      <c r="BU18" s="74" t="b">
        <f t="shared" si="10"/>
        <v>0</v>
      </c>
      <c r="BV18" s="80"/>
      <c r="BW18" s="74" t="b">
        <f t="shared" si="11"/>
        <v>0</v>
      </c>
      <c r="BX18" s="80"/>
      <c r="BY18" s="80"/>
      <c r="BZ18" s="87"/>
      <c r="CA18" s="80"/>
      <c r="CB18" s="82" t="str">
        <f t="shared" si="4"/>
        <v/>
      </c>
      <c r="CC18" s="80"/>
      <c r="CD18" s="80"/>
      <c r="CE18" s="74"/>
      <c r="CF18" s="74"/>
      <c r="CG18" s="74"/>
      <c r="CH18" s="80"/>
      <c r="CI18" s="54"/>
      <c r="CJ18" s="54"/>
      <c r="CK18" s="54"/>
      <c r="CL18" s="54"/>
      <c r="CM18" s="54"/>
      <c r="CN18" s="54"/>
    </row>
    <row r="19" spans="1:92" ht="21" customHeight="1">
      <c r="A19" s="310">
        <f t="shared" si="12"/>
        <v>42711</v>
      </c>
      <c r="B19" s="311"/>
      <c r="C19" s="312"/>
      <c r="D19" s="309">
        <f t="shared" si="0"/>
        <v>4</v>
      </c>
      <c r="E19" s="309"/>
      <c r="F19" s="309"/>
      <c r="G19" s="254"/>
      <c r="H19" s="255"/>
      <c r="I19" s="255"/>
      <c r="J19" s="256"/>
      <c r="K19" s="282"/>
      <c r="L19" s="283"/>
      <c r="M19" s="283"/>
      <c r="N19" s="284"/>
      <c r="O19" s="282"/>
      <c r="P19" s="283"/>
      <c r="Q19" s="283"/>
      <c r="R19" s="284"/>
      <c r="S19" s="291">
        <f t="shared" si="13"/>
        <v>0</v>
      </c>
      <c r="T19" s="292"/>
      <c r="U19" s="293"/>
      <c r="V19" s="257">
        <f>IF(祝日!A40=1,TIME(0,$BD$8 * 60,0),"")</f>
        <v>0.33333333333333331</v>
      </c>
      <c r="W19" s="258"/>
      <c r="X19" s="259"/>
      <c r="Y19" s="234">
        <f>IF(K19="",IF(O19="",IF(V19="","",祝日!J40-S19),祝日!J40-S19),祝日!J40-S19)</f>
        <v>0</v>
      </c>
      <c r="Z19" s="235"/>
      <c r="AA19" s="235"/>
      <c r="AB19" s="236"/>
      <c r="AC19" s="234">
        <f t="shared" si="5"/>
        <v>0</v>
      </c>
      <c r="AD19" s="236"/>
      <c r="AE19" s="234">
        <f>IF(OR(BS19,BT19,BU19),"",IF(O19&lt;=SetData!$C$40,0,O19-SetData!$C$40))</f>
        <v>0</v>
      </c>
      <c r="AF19" s="236"/>
      <c r="AG19" s="234" t="str">
        <f t="shared" si="6"/>
        <v/>
      </c>
      <c r="AH19" s="236"/>
      <c r="AI19" s="234" t="str">
        <f>IF(OR(BS19,BT19,BU19),IF(O19&lt;=SetData!$C$40,0,O19-SetData!$C$40),"")</f>
        <v/>
      </c>
      <c r="AJ19" s="236"/>
      <c r="AK19" s="244"/>
      <c r="AL19" s="243"/>
      <c r="AM19" s="243"/>
      <c r="AN19" s="243"/>
      <c r="AO19" s="243"/>
      <c r="AP19" s="243"/>
      <c r="AQ19" s="243"/>
      <c r="AR19" s="243"/>
      <c r="AS19" s="243"/>
      <c r="AT19" s="51"/>
      <c r="AU19" s="1" t="str">
        <f>IF(ISNA( VLOOKUP(Y19,SetData!$D$3:$F$14,3,FALSE)),"",VLOOKUP(Y19,SetData!$D$3:$F$14,3,FALSE))</f>
        <v/>
      </c>
      <c r="AV19" s="1" t="str">
        <f>IF(OR(AU19=6,AU19=7,AU19=8,AU19=9),IF(ISNA( VLOOKUP(Y19,SetData!$D$3:$F$14,2,FALSE)),"",VLOOKUP(Y19,SetData!$D$3:$F$14,2,FALSE)),"")</f>
        <v/>
      </c>
      <c r="AW19" s="109"/>
      <c r="AX19" s="1" t="str">
        <f>IF(ISNA( VLOOKUP(AC19,SetData!$D$3:$F$14,3,FALSE)),"",VLOOKUP(AC19,SetData!$D$3:$F$14,3,FALSE))</f>
        <v/>
      </c>
      <c r="AY19" s="1" t="str">
        <f>IF(OR(AX19=6,AX19=7,AX19=8,AX19=9),IF(ISNA( VLOOKUP(AC19,SetData!$D$3:$F$14,2,FALSE)),"",VLOOKUP(AC19,SetData!$D$3:$F$14,2,FALSE)),"")</f>
        <v/>
      </c>
      <c r="AZ19" s="4"/>
      <c r="BA19" s="110"/>
      <c r="BB19" s="110"/>
      <c r="BC19" s="110"/>
      <c r="BD19" s="58"/>
      <c r="BE19" s="58"/>
      <c r="BF19" s="58"/>
      <c r="BG19" s="58"/>
      <c r="BH19" s="58"/>
      <c r="BI19" s="58"/>
      <c r="BJ19" s="111"/>
      <c r="BK19" s="111"/>
      <c r="BL19" s="111"/>
      <c r="BM19" s="121"/>
      <c r="BN19" s="89"/>
      <c r="BO19" s="83" t="b">
        <f t="shared" si="1"/>
        <v>0</v>
      </c>
      <c r="BP19" s="83" t="b">
        <f t="shared" si="2"/>
        <v>0</v>
      </c>
      <c r="BQ19" s="85" t="b">
        <f t="shared" si="3"/>
        <v>0</v>
      </c>
      <c r="BR19" s="74" t="b">
        <f t="shared" si="7"/>
        <v>0</v>
      </c>
      <c r="BS19" s="74" t="b">
        <f t="shared" si="8"/>
        <v>0</v>
      </c>
      <c r="BT19" s="74" t="b">
        <f t="shared" si="9"/>
        <v>0</v>
      </c>
      <c r="BU19" s="74" t="b">
        <f t="shared" si="10"/>
        <v>0</v>
      </c>
      <c r="BV19" s="74"/>
      <c r="BW19" s="74" t="b">
        <f t="shared" si="11"/>
        <v>0</v>
      </c>
      <c r="BX19" s="74"/>
      <c r="BY19" s="74"/>
      <c r="BZ19" s="87"/>
      <c r="CA19" s="74"/>
      <c r="CB19" s="82" t="str">
        <f t="shared" si="4"/>
        <v/>
      </c>
      <c r="CC19" s="74"/>
      <c r="CD19" s="74"/>
      <c r="CE19" s="74"/>
      <c r="CF19" s="74"/>
      <c r="CG19" s="74"/>
      <c r="CH19" s="74"/>
    </row>
    <row r="20" spans="1:92" ht="21" customHeight="1">
      <c r="A20" s="310">
        <f t="shared" si="12"/>
        <v>42712</v>
      </c>
      <c r="B20" s="311"/>
      <c r="C20" s="312"/>
      <c r="D20" s="309">
        <f t="shared" si="0"/>
        <v>5</v>
      </c>
      <c r="E20" s="309"/>
      <c r="F20" s="309"/>
      <c r="G20" s="254"/>
      <c r="H20" s="255"/>
      <c r="I20" s="255"/>
      <c r="J20" s="256"/>
      <c r="K20" s="282"/>
      <c r="L20" s="283"/>
      <c r="M20" s="283"/>
      <c r="N20" s="284"/>
      <c r="O20" s="282"/>
      <c r="P20" s="283"/>
      <c r="Q20" s="283"/>
      <c r="R20" s="284"/>
      <c r="S20" s="291">
        <f t="shared" si="13"/>
        <v>0</v>
      </c>
      <c r="T20" s="292"/>
      <c r="U20" s="293"/>
      <c r="V20" s="257">
        <f>IF(祝日!A41=1,TIME(0,$BD$8 * 60,0),"")</f>
        <v>0.33333333333333331</v>
      </c>
      <c r="W20" s="258"/>
      <c r="X20" s="259"/>
      <c r="Y20" s="234">
        <f>IF(K20="",IF(O20="",IF(V20="","",祝日!J41-S20),祝日!J41-S20),祝日!J41-S20)</f>
        <v>0</v>
      </c>
      <c r="Z20" s="235"/>
      <c r="AA20" s="235"/>
      <c r="AB20" s="236"/>
      <c r="AC20" s="234">
        <f t="shared" si="5"/>
        <v>0</v>
      </c>
      <c r="AD20" s="236"/>
      <c r="AE20" s="234">
        <f>IF(OR(BS20,BT20,BU20),"",IF(O20&lt;=SetData!$C$40,0,O20-SetData!$C$40))</f>
        <v>0</v>
      </c>
      <c r="AF20" s="236"/>
      <c r="AG20" s="234" t="str">
        <f t="shared" si="6"/>
        <v/>
      </c>
      <c r="AH20" s="236"/>
      <c r="AI20" s="234" t="str">
        <f>IF(OR(BS20,BT20,BU20),IF(O20&lt;=SetData!$C$40,0,O20-SetData!$C$40),"")</f>
        <v/>
      </c>
      <c r="AJ20" s="236"/>
      <c r="AK20" s="244"/>
      <c r="AL20" s="243"/>
      <c r="AM20" s="243"/>
      <c r="AN20" s="243"/>
      <c r="AO20" s="243"/>
      <c r="AP20" s="243"/>
      <c r="AQ20" s="243"/>
      <c r="AR20" s="243"/>
      <c r="AS20" s="243"/>
      <c r="AT20" s="51"/>
      <c r="AU20" s="1" t="str">
        <f>IF(ISNA( VLOOKUP(Y20,SetData!$D$3:$F$14,3,FALSE)),"",VLOOKUP(Y20,SetData!$D$3:$F$14,3,FALSE))</f>
        <v/>
      </c>
      <c r="AV20" s="1" t="str">
        <f>IF(OR(AU20=6,AU20=7,AU20=8,AU20=9),IF(ISNA( VLOOKUP(Y20,SetData!$D$3:$F$14,2,FALSE)),"",VLOOKUP(Y20,SetData!$D$3:$F$14,2,FALSE)),"")</f>
        <v/>
      </c>
      <c r="AW20" s="109"/>
      <c r="AX20" s="1" t="str">
        <f>IF(ISNA( VLOOKUP(AC20,SetData!$D$3:$F$14,3,FALSE)),"",VLOOKUP(AC20,SetData!$D$3:$F$14,3,FALSE))</f>
        <v/>
      </c>
      <c r="AY20" s="1" t="str">
        <f>IF(OR(AX20=6,AX20=7,AX20=8,AX20=9),IF(ISNA( VLOOKUP(AC20,SetData!$D$3:$F$14,2,FALSE)),"",VLOOKUP(AC20,SetData!$D$3:$F$14,2,FALSE)),"")</f>
        <v/>
      </c>
      <c r="AZ20" s="4"/>
      <c r="BA20" s="110"/>
      <c r="BB20" s="110"/>
      <c r="BC20" s="110"/>
      <c r="BD20" s="58"/>
      <c r="BE20" s="58"/>
      <c r="BF20" s="58"/>
      <c r="BG20" s="58"/>
      <c r="BH20" s="58"/>
      <c r="BI20" s="58"/>
      <c r="BJ20" s="111"/>
      <c r="BK20" s="111"/>
      <c r="BL20" s="111"/>
      <c r="BM20" s="121"/>
      <c r="BN20" s="89"/>
      <c r="BO20" s="83" t="b">
        <f t="shared" si="1"/>
        <v>0</v>
      </c>
      <c r="BP20" s="83" t="b">
        <f t="shared" si="2"/>
        <v>0</v>
      </c>
      <c r="BQ20" s="85" t="b">
        <f t="shared" si="3"/>
        <v>0</v>
      </c>
      <c r="BR20" s="74" t="b">
        <f t="shared" si="7"/>
        <v>0</v>
      </c>
      <c r="BS20" s="74" t="b">
        <f t="shared" si="8"/>
        <v>0</v>
      </c>
      <c r="BT20" s="74" t="b">
        <f t="shared" si="9"/>
        <v>0</v>
      </c>
      <c r="BU20" s="74" t="b">
        <f t="shared" si="10"/>
        <v>0</v>
      </c>
      <c r="BV20" s="74"/>
      <c r="BW20" s="74" t="b">
        <f t="shared" si="11"/>
        <v>0</v>
      </c>
      <c r="BX20" s="74"/>
      <c r="BY20" s="74"/>
      <c r="BZ20" s="87"/>
      <c r="CA20" s="74"/>
      <c r="CB20" s="82" t="str">
        <f t="shared" si="4"/>
        <v/>
      </c>
      <c r="CC20" s="74"/>
      <c r="CD20" s="74"/>
      <c r="CE20" s="74"/>
      <c r="CF20" s="74"/>
      <c r="CG20" s="74"/>
      <c r="CH20" s="74"/>
    </row>
    <row r="21" spans="1:92" ht="21" customHeight="1">
      <c r="A21" s="310">
        <f t="shared" si="12"/>
        <v>42713</v>
      </c>
      <c r="B21" s="311"/>
      <c r="C21" s="312"/>
      <c r="D21" s="309">
        <f t="shared" si="0"/>
        <v>6</v>
      </c>
      <c r="E21" s="309"/>
      <c r="F21" s="309"/>
      <c r="G21" s="254"/>
      <c r="H21" s="255"/>
      <c r="I21" s="255"/>
      <c r="J21" s="256"/>
      <c r="K21" s="282"/>
      <c r="L21" s="283"/>
      <c r="M21" s="283"/>
      <c r="N21" s="284"/>
      <c r="O21" s="282"/>
      <c r="P21" s="283"/>
      <c r="Q21" s="283"/>
      <c r="R21" s="284"/>
      <c r="S21" s="291">
        <f t="shared" si="13"/>
        <v>0</v>
      </c>
      <c r="T21" s="292"/>
      <c r="U21" s="293"/>
      <c r="V21" s="257">
        <f>IF(祝日!A42=1,TIME(0,$BD$8 * 60,0),"")</f>
        <v>0.33333333333333331</v>
      </c>
      <c r="W21" s="258"/>
      <c r="X21" s="259"/>
      <c r="Y21" s="234">
        <f>IF(K21="",IF(O21="",IF(V21="","",祝日!J42-S21),祝日!J42-S21),祝日!J42-S21)</f>
        <v>0</v>
      </c>
      <c r="Z21" s="235"/>
      <c r="AA21" s="235"/>
      <c r="AB21" s="236"/>
      <c r="AC21" s="234">
        <f t="shared" si="5"/>
        <v>0</v>
      </c>
      <c r="AD21" s="236"/>
      <c r="AE21" s="234">
        <f>IF(OR(BS21,BT21,BU21),"",IF(O21&lt;=SetData!$C$40,0,O21-SetData!$C$40))</f>
        <v>0</v>
      </c>
      <c r="AF21" s="236"/>
      <c r="AG21" s="234" t="str">
        <f t="shared" si="6"/>
        <v/>
      </c>
      <c r="AH21" s="236"/>
      <c r="AI21" s="234" t="str">
        <f>IF(OR(BS21,BT21,BU21),IF(O21&lt;=SetData!$C$40,0,O21-SetData!$C$40),"")</f>
        <v/>
      </c>
      <c r="AJ21" s="236"/>
      <c r="AK21" s="244"/>
      <c r="AL21" s="243"/>
      <c r="AM21" s="243"/>
      <c r="AN21" s="243"/>
      <c r="AO21" s="243"/>
      <c r="AP21" s="243"/>
      <c r="AQ21" s="243"/>
      <c r="AR21" s="243"/>
      <c r="AS21" s="243"/>
      <c r="AT21" s="51"/>
      <c r="AU21" s="1" t="str">
        <f>IF(ISNA( VLOOKUP(Y21,SetData!$D$3:$F$14,3,FALSE)),"",VLOOKUP(Y21,SetData!$D$3:$F$14,3,FALSE))</f>
        <v/>
      </c>
      <c r="AV21" s="1" t="str">
        <f>IF(OR(AU21=6,AU21=7,AU21=8,AU21=9),IF(ISNA( VLOOKUP(Y21,SetData!$D$3:$F$14,2,FALSE)),"",VLOOKUP(Y21,SetData!$D$3:$F$14,2,FALSE)),"")</f>
        <v/>
      </c>
      <c r="AW21" s="109"/>
      <c r="AX21" s="1" t="str">
        <f>IF(ISNA( VLOOKUP(AC21,SetData!$D$3:$F$14,3,FALSE)),"",VLOOKUP(AC21,SetData!$D$3:$F$14,3,FALSE))</f>
        <v/>
      </c>
      <c r="AY21" s="1" t="str">
        <f>IF(OR(AX21=6,AX21=7,AX21=8,AX21=9),IF(ISNA( VLOOKUP(AC21,SetData!$D$3:$F$14,2,FALSE)),"",VLOOKUP(AC21,SetData!$D$3:$F$14,2,FALSE)),"")</f>
        <v/>
      </c>
      <c r="AZ21" s="4"/>
      <c r="BA21" s="110"/>
      <c r="BB21" s="110"/>
      <c r="BC21" s="110"/>
      <c r="BD21" s="58"/>
      <c r="BE21" s="58"/>
      <c r="BF21" s="58"/>
      <c r="BG21" s="58"/>
      <c r="BH21" s="58"/>
      <c r="BI21" s="58"/>
      <c r="BJ21" s="111"/>
      <c r="BK21" s="111"/>
      <c r="BL21" s="111"/>
      <c r="BM21" s="121"/>
      <c r="BN21" s="89"/>
      <c r="BO21" s="83" t="b">
        <f t="shared" si="1"/>
        <v>0</v>
      </c>
      <c r="BP21" s="83" t="b">
        <f t="shared" si="2"/>
        <v>0</v>
      </c>
      <c r="BQ21" s="85" t="b">
        <f t="shared" si="3"/>
        <v>0</v>
      </c>
      <c r="BR21" s="74" t="b">
        <f t="shared" si="7"/>
        <v>0</v>
      </c>
      <c r="BS21" s="74" t="b">
        <f t="shared" si="8"/>
        <v>0</v>
      </c>
      <c r="BT21" s="74" t="b">
        <f t="shared" si="9"/>
        <v>0</v>
      </c>
      <c r="BU21" s="74" t="b">
        <f t="shared" si="10"/>
        <v>0</v>
      </c>
      <c r="BV21" s="74"/>
      <c r="BW21" s="74" t="b">
        <f t="shared" si="11"/>
        <v>0</v>
      </c>
      <c r="BX21" s="74"/>
      <c r="BY21" s="74"/>
      <c r="BZ21" s="87">
        <f t="shared" ref="BZ21:BZ42" si="14">IF(ISERROR(VLOOKUP(AM19,$CB$2:$CE$14,4,FALSE)),0,VLOOKUP(AM19,$CB$2:$CE$14,4,FALSE))</f>
        <v>0</v>
      </c>
      <c r="CA21" s="74"/>
      <c r="CB21" s="82" t="str">
        <f t="shared" si="4"/>
        <v/>
      </c>
      <c r="CC21" s="74"/>
      <c r="CD21" s="74"/>
      <c r="CE21" s="74"/>
      <c r="CF21" s="74"/>
      <c r="CG21" s="74"/>
      <c r="CH21" s="74"/>
    </row>
    <row r="22" spans="1:92" ht="21" customHeight="1">
      <c r="A22" s="310">
        <f t="shared" si="12"/>
        <v>42714</v>
      </c>
      <c r="B22" s="311"/>
      <c r="C22" s="312"/>
      <c r="D22" s="309">
        <f t="shared" si="0"/>
        <v>7</v>
      </c>
      <c r="E22" s="309"/>
      <c r="F22" s="309"/>
      <c r="G22" s="254"/>
      <c r="H22" s="255"/>
      <c r="I22" s="255"/>
      <c r="J22" s="256"/>
      <c r="K22" s="282"/>
      <c r="L22" s="283"/>
      <c r="M22" s="283"/>
      <c r="N22" s="284"/>
      <c r="O22" s="282"/>
      <c r="P22" s="283"/>
      <c r="Q22" s="283"/>
      <c r="R22" s="284"/>
      <c r="S22" s="291">
        <f t="shared" si="13"/>
        <v>0</v>
      </c>
      <c r="T22" s="292"/>
      <c r="U22" s="293"/>
      <c r="V22" s="257" t="str">
        <f>IF(祝日!A43=1,TIME(0,$BD$8 * 60,0),"")</f>
        <v/>
      </c>
      <c r="W22" s="258"/>
      <c r="X22" s="259"/>
      <c r="Y22" s="234" t="str">
        <f>IF(K22="",IF(O22="",IF(V22="","",祝日!J43-S22),祝日!J43-S22),祝日!J43-S22)</f>
        <v/>
      </c>
      <c r="Z22" s="235"/>
      <c r="AA22" s="235"/>
      <c r="AB22" s="236"/>
      <c r="AC22" s="234">
        <f t="shared" si="5"/>
        <v>0</v>
      </c>
      <c r="AD22" s="236"/>
      <c r="AE22" s="234">
        <f>IF(OR(BS22,BT22,BU22),"",IF(O22&lt;=SetData!$C$40,0,O22-SetData!$C$40))</f>
        <v>0</v>
      </c>
      <c r="AF22" s="236"/>
      <c r="AG22" s="234" t="str">
        <f t="shared" si="6"/>
        <v/>
      </c>
      <c r="AH22" s="236"/>
      <c r="AI22" s="234" t="str">
        <f>IF(OR(BS22,BT22,BU22),IF(O22&lt;=SetData!$C$40,0,O22-SetData!$C$40),"")</f>
        <v/>
      </c>
      <c r="AJ22" s="236"/>
      <c r="AK22" s="243"/>
      <c r="AL22" s="243"/>
      <c r="AM22" s="243"/>
      <c r="AN22" s="243"/>
      <c r="AO22" s="243"/>
      <c r="AP22" s="243"/>
      <c r="AQ22" s="243"/>
      <c r="AR22" s="243"/>
      <c r="AS22" s="243"/>
      <c r="AT22" s="51"/>
      <c r="AU22" s="1" t="str">
        <f>IF(ISNA( VLOOKUP(Y22,SetData!$D$3:$F$14,3,FALSE)),"",VLOOKUP(Y22,SetData!$D$3:$F$14,3,FALSE))</f>
        <v/>
      </c>
      <c r="AV22" s="1" t="str">
        <f>IF(OR(AU22=6,AU22=7,AU22=8,AU22=9),IF(ISNA( VLOOKUP(Y22,SetData!$D$3:$F$14,2,FALSE)),"",VLOOKUP(Y22,SetData!$D$3:$F$14,2,FALSE)),"")</f>
        <v/>
      </c>
      <c r="AW22" s="109"/>
      <c r="AX22" s="1" t="str">
        <f>IF(ISNA( VLOOKUP(AC22,SetData!$D$3:$F$14,3,FALSE)),"",VLOOKUP(AC22,SetData!$D$3:$F$14,3,FALSE))</f>
        <v/>
      </c>
      <c r="AY22" s="1" t="str">
        <f>IF(OR(AX22=6,AX22=7,AX22=8,AX22=9),IF(ISNA( VLOOKUP(AC22,SetData!$D$3:$F$14,2,FALSE)),"",VLOOKUP(AC22,SetData!$D$3:$F$14,2,FALSE)),"")</f>
        <v/>
      </c>
      <c r="AZ22" s="4"/>
      <c r="BA22" s="110"/>
      <c r="BB22" s="110"/>
      <c r="BC22" s="110"/>
      <c r="BD22" s="58"/>
      <c r="BE22" s="58"/>
      <c r="BF22" s="58"/>
      <c r="BG22" s="58"/>
      <c r="BH22" s="58"/>
      <c r="BI22" s="58"/>
      <c r="BJ22" s="111"/>
      <c r="BK22" s="111"/>
      <c r="BL22" s="111"/>
      <c r="BM22" s="121"/>
      <c r="BN22" s="89"/>
      <c r="BO22" s="83" t="b">
        <f t="shared" si="1"/>
        <v>1</v>
      </c>
      <c r="BP22" s="83" t="b">
        <f t="shared" si="2"/>
        <v>0</v>
      </c>
      <c r="BQ22" s="85" t="b">
        <f t="shared" si="3"/>
        <v>0</v>
      </c>
      <c r="BR22" s="74" t="b">
        <f t="shared" si="7"/>
        <v>1</v>
      </c>
      <c r="BS22" s="74" t="b">
        <f t="shared" si="8"/>
        <v>0</v>
      </c>
      <c r="BT22" s="74" t="b">
        <f t="shared" si="9"/>
        <v>0</v>
      </c>
      <c r="BU22" s="74" t="b">
        <f t="shared" si="10"/>
        <v>0</v>
      </c>
      <c r="BV22" s="74"/>
      <c r="BW22" s="74" t="b">
        <f t="shared" si="11"/>
        <v>0</v>
      </c>
      <c r="BX22" s="74"/>
      <c r="BY22" s="74"/>
      <c r="BZ22" s="87">
        <f t="shared" si="14"/>
        <v>0</v>
      </c>
      <c r="CA22" s="74"/>
      <c r="CB22" s="82" t="str">
        <f t="shared" si="4"/>
        <v/>
      </c>
      <c r="CC22" s="74"/>
      <c r="CD22" s="74"/>
      <c r="CE22" s="74"/>
      <c r="CF22" s="74"/>
      <c r="CG22" s="74"/>
      <c r="CH22" s="74"/>
    </row>
    <row r="23" spans="1:92" ht="21" customHeight="1">
      <c r="A23" s="310">
        <f t="shared" si="12"/>
        <v>42715</v>
      </c>
      <c r="B23" s="311"/>
      <c r="C23" s="312"/>
      <c r="D23" s="309">
        <f t="shared" si="0"/>
        <v>1</v>
      </c>
      <c r="E23" s="309"/>
      <c r="F23" s="309"/>
      <c r="G23" s="254"/>
      <c r="H23" s="255"/>
      <c r="I23" s="255"/>
      <c r="J23" s="256"/>
      <c r="K23" s="282"/>
      <c r="L23" s="283"/>
      <c r="M23" s="283"/>
      <c r="N23" s="284"/>
      <c r="O23" s="282"/>
      <c r="P23" s="283"/>
      <c r="Q23" s="283"/>
      <c r="R23" s="284"/>
      <c r="S23" s="291">
        <f t="shared" si="13"/>
        <v>0</v>
      </c>
      <c r="T23" s="292"/>
      <c r="U23" s="293"/>
      <c r="V23" s="257" t="str">
        <f>IF(祝日!A44=1,TIME(0,$BD$8 * 60,0),"")</f>
        <v/>
      </c>
      <c r="W23" s="258"/>
      <c r="X23" s="259"/>
      <c r="Y23" s="234" t="str">
        <f>IF(K23="",IF(O23="",IF(V23="","",祝日!J44-S23),祝日!J44-S23),祝日!J44-S23)</f>
        <v/>
      </c>
      <c r="Z23" s="235"/>
      <c r="AA23" s="235"/>
      <c r="AB23" s="236"/>
      <c r="AC23" s="234">
        <f t="shared" si="5"/>
        <v>0</v>
      </c>
      <c r="AD23" s="236"/>
      <c r="AE23" s="234">
        <f>IF(OR(BS23,BT23,BU23),"",IF(O23&lt;=SetData!$C$40,0,O23-SetData!$C$40))</f>
        <v>0</v>
      </c>
      <c r="AF23" s="236"/>
      <c r="AG23" s="234" t="str">
        <f t="shared" si="6"/>
        <v/>
      </c>
      <c r="AH23" s="236"/>
      <c r="AI23" s="234" t="str">
        <f>IF(OR(BS23,BT23,BU23),IF(O23&lt;=SetData!$C$40,0,O23-SetData!$C$40),"")</f>
        <v/>
      </c>
      <c r="AJ23" s="236"/>
      <c r="AK23" s="243"/>
      <c r="AL23" s="243"/>
      <c r="AM23" s="243"/>
      <c r="AN23" s="243"/>
      <c r="AO23" s="243"/>
      <c r="AP23" s="243"/>
      <c r="AQ23" s="243"/>
      <c r="AR23" s="243"/>
      <c r="AS23" s="243"/>
      <c r="AT23" s="51"/>
      <c r="AU23" s="1" t="str">
        <f>IF(ISNA( VLOOKUP(Y23,SetData!$D$3:$F$14,3,FALSE)),"",VLOOKUP(Y23,SetData!$D$3:$F$14,3,FALSE))</f>
        <v/>
      </c>
      <c r="AV23" s="1" t="str">
        <f>IF(OR(AU23=6,AU23=7,AU23=8,AU23=9),IF(ISNA( VLOOKUP(Y23,SetData!$D$3:$F$14,2,FALSE)),"",VLOOKUP(Y23,SetData!$D$3:$F$14,2,FALSE)),"")</f>
        <v/>
      </c>
      <c r="AW23" s="109"/>
      <c r="AX23" s="1" t="str">
        <f>IF(ISNA( VLOOKUP(AC23,SetData!$D$3:$F$14,3,FALSE)),"",VLOOKUP(AC23,SetData!$D$3:$F$14,3,FALSE))</f>
        <v/>
      </c>
      <c r="AY23" s="1" t="str">
        <f>IF(OR(AX23=6,AX23=7,AX23=8,AX23=9),IF(ISNA( VLOOKUP(AC23,SetData!$D$3:$F$14,2,FALSE)),"",VLOOKUP(AC23,SetData!$D$3:$F$14,2,FALSE)),"")</f>
        <v/>
      </c>
      <c r="AZ23" s="4"/>
      <c r="BA23" s="110"/>
      <c r="BB23" s="110"/>
      <c r="BC23" s="110"/>
      <c r="BD23" s="58"/>
      <c r="BE23" s="58"/>
      <c r="BF23" s="58"/>
      <c r="BG23" s="58"/>
      <c r="BH23" s="58"/>
      <c r="BI23" s="58"/>
      <c r="BJ23" s="111"/>
      <c r="BK23" s="111"/>
      <c r="BL23" s="111"/>
      <c r="BM23" s="4"/>
      <c r="BN23" s="112"/>
      <c r="BO23" s="113" t="b">
        <f t="shared" si="1"/>
        <v>0</v>
      </c>
      <c r="BP23" s="113" t="b">
        <f t="shared" si="2"/>
        <v>1</v>
      </c>
      <c r="BQ23" s="114" t="b">
        <f t="shared" si="3"/>
        <v>0</v>
      </c>
      <c r="BR23" s="115" t="b">
        <f t="shared" si="7"/>
        <v>0</v>
      </c>
      <c r="BS23" s="115" t="b">
        <f t="shared" si="8"/>
        <v>0</v>
      </c>
      <c r="BT23" s="115" t="b">
        <f t="shared" si="9"/>
        <v>0</v>
      </c>
      <c r="BU23" s="115" t="b">
        <f t="shared" si="10"/>
        <v>0</v>
      </c>
      <c r="BV23" s="115"/>
      <c r="BW23" s="74" t="b">
        <f t="shared" si="11"/>
        <v>0</v>
      </c>
      <c r="BX23" s="115"/>
      <c r="BY23" s="115"/>
      <c r="BZ23" s="116">
        <f t="shared" si="14"/>
        <v>0</v>
      </c>
      <c r="CA23" s="115"/>
      <c r="CB23" s="117" t="str">
        <f t="shared" si="4"/>
        <v/>
      </c>
      <c r="CC23" s="115"/>
      <c r="CD23" s="115"/>
      <c r="CE23" s="115"/>
      <c r="CF23" s="115"/>
      <c r="CG23" s="115"/>
      <c r="CH23" s="115"/>
      <c r="CI23" s="1"/>
      <c r="CJ23" s="1"/>
      <c r="CK23" s="1"/>
      <c r="CL23" s="1"/>
      <c r="CM23" s="1"/>
      <c r="CN23" s="1"/>
    </row>
    <row r="24" spans="1:92" ht="21" customHeight="1">
      <c r="A24" s="310">
        <f t="shared" si="12"/>
        <v>42716</v>
      </c>
      <c r="B24" s="311"/>
      <c r="C24" s="312"/>
      <c r="D24" s="309">
        <f t="shared" si="0"/>
        <v>2</v>
      </c>
      <c r="E24" s="309"/>
      <c r="F24" s="309"/>
      <c r="G24" s="254"/>
      <c r="H24" s="255"/>
      <c r="I24" s="255"/>
      <c r="J24" s="256"/>
      <c r="K24" s="282"/>
      <c r="L24" s="283"/>
      <c r="M24" s="283"/>
      <c r="N24" s="284"/>
      <c r="O24" s="282"/>
      <c r="P24" s="283"/>
      <c r="Q24" s="283"/>
      <c r="R24" s="284"/>
      <c r="S24" s="291">
        <f t="shared" si="13"/>
        <v>0</v>
      </c>
      <c r="T24" s="292"/>
      <c r="U24" s="293"/>
      <c r="V24" s="257">
        <f>IF(祝日!A45=1,TIME(0,$BD$8 * 60,0),"")</f>
        <v>0.33333333333333331</v>
      </c>
      <c r="W24" s="258"/>
      <c r="X24" s="259"/>
      <c r="Y24" s="234">
        <f>IF(K24="",IF(O24="",IF(V24="","",祝日!J45-S24),祝日!J45-S24),祝日!J45-S24)</f>
        <v>0</v>
      </c>
      <c r="Z24" s="235"/>
      <c r="AA24" s="235"/>
      <c r="AB24" s="236"/>
      <c r="AC24" s="234">
        <f t="shared" si="5"/>
        <v>0</v>
      </c>
      <c r="AD24" s="236"/>
      <c r="AE24" s="234">
        <f>IF(OR(BS24,BT24,BU24),"",IF(O24&lt;=SetData!$C$40,0,O24-SetData!$C$40))</f>
        <v>0</v>
      </c>
      <c r="AF24" s="236"/>
      <c r="AG24" s="234" t="str">
        <f t="shared" si="6"/>
        <v/>
      </c>
      <c r="AH24" s="236"/>
      <c r="AI24" s="234" t="str">
        <f>IF(OR(BS24,BT24,BU24),IF(O24&lt;=SetData!$C$40,0,O24-SetData!$C$40),"")</f>
        <v/>
      </c>
      <c r="AJ24" s="236"/>
      <c r="AK24" s="244"/>
      <c r="AL24" s="243"/>
      <c r="AM24" s="243"/>
      <c r="AN24" s="243"/>
      <c r="AO24" s="243"/>
      <c r="AP24" s="243"/>
      <c r="AQ24" s="243"/>
      <c r="AR24" s="243"/>
      <c r="AS24" s="243"/>
      <c r="AT24" s="51"/>
      <c r="AU24" s="1" t="str">
        <f>IF(ISNA( VLOOKUP(Y24,SetData!$D$3:$F$14,3,FALSE)),"",VLOOKUP(Y24,SetData!$D$3:$F$14,3,FALSE))</f>
        <v/>
      </c>
      <c r="AV24" s="1" t="str">
        <f>IF(OR(AU24=6,AU24=7,AU24=8,AU24=9),IF(ISNA( VLOOKUP(Y24,SetData!$D$3:$F$14,2,FALSE)),"",VLOOKUP(Y24,SetData!$D$3:$F$14,2,FALSE)),"")</f>
        <v/>
      </c>
      <c r="AW24" s="109"/>
      <c r="AX24" s="1" t="str">
        <f>IF(ISNA( VLOOKUP(AC24,SetData!$D$3:$F$14,3,FALSE)),"",VLOOKUP(AC24,SetData!$D$3:$F$14,3,FALSE))</f>
        <v/>
      </c>
      <c r="AY24" s="1" t="str">
        <f>IF(OR(AX24=6,AX24=7,AX24=8,AX24=9),IF(ISNA( VLOOKUP(AC24,SetData!$D$3:$F$14,2,FALSE)),"",VLOOKUP(AC24,SetData!$D$3:$F$14,2,FALSE)),"")</f>
        <v/>
      </c>
      <c r="AZ24" s="4"/>
      <c r="BA24" s="10"/>
      <c r="BB24" s="10"/>
      <c r="BC24" s="10"/>
      <c r="BD24" s="10"/>
      <c r="BE24" s="10"/>
      <c r="BF24" s="10"/>
      <c r="BG24" s="118"/>
      <c r="BH24" s="118"/>
      <c r="BI24" s="118"/>
      <c r="BJ24" s="118"/>
      <c r="BK24" s="118"/>
      <c r="BL24" s="118"/>
      <c r="BM24" s="118"/>
      <c r="BN24" s="113"/>
      <c r="BO24" s="113" t="b">
        <f t="shared" si="1"/>
        <v>0</v>
      </c>
      <c r="BP24" s="113" t="b">
        <f t="shared" si="2"/>
        <v>0</v>
      </c>
      <c r="BQ24" s="114" t="b">
        <f t="shared" si="3"/>
        <v>0</v>
      </c>
      <c r="BR24" s="115" t="b">
        <f t="shared" si="7"/>
        <v>0</v>
      </c>
      <c r="BS24" s="115" t="b">
        <f t="shared" si="8"/>
        <v>0</v>
      </c>
      <c r="BT24" s="115" t="b">
        <f t="shared" si="9"/>
        <v>0</v>
      </c>
      <c r="BU24" s="115" t="b">
        <f t="shared" si="10"/>
        <v>0</v>
      </c>
      <c r="BV24" s="115"/>
      <c r="BW24" s="74" t="b">
        <f t="shared" si="11"/>
        <v>0</v>
      </c>
      <c r="BX24" s="115"/>
      <c r="BY24" s="115"/>
      <c r="BZ24" s="116">
        <f t="shared" si="14"/>
        <v>0</v>
      </c>
      <c r="CA24" s="115"/>
      <c r="CB24" s="117" t="str">
        <f t="shared" si="4"/>
        <v/>
      </c>
      <c r="CC24" s="115"/>
      <c r="CD24" s="115"/>
      <c r="CE24" s="115"/>
      <c r="CF24" s="115"/>
      <c r="CG24" s="115"/>
      <c r="CH24" s="115"/>
      <c r="CI24" s="1"/>
      <c r="CJ24" s="1"/>
      <c r="CK24" s="1"/>
      <c r="CL24" s="1"/>
      <c r="CM24" s="1"/>
      <c r="CN24" s="1"/>
    </row>
    <row r="25" spans="1:92" ht="21" customHeight="1">
      <c r="A25" s="310">
        <f t="shared" si="12"/>
        <v>42717</v>
      </c>
      <c r="B25" s="311"/>
      <c r="C25" s="312"/>
      <c r="D25" s="309">
        <f t="shared" si="0"/>
        <v>3</v>
      </c>
      <c r="E25" s="309"/>
      <c r="F25" s="309"/>
      <c r="G25" s="254"/>
      <c r="H25" s="255"/>
      <c r="I25" s="255"/>
      <c r="J25" s="256"/>
      <c r="K25" s="282"/>
      <c r="L25" s="283"/>
      <c r="M25" s="283"/>
      <c r="N25" s="284"/>
      <c r="O25" s="282"/>
      <c r="P25" s="283"/>
      <c r="Q25" s="283"/>
      <c r="R25" s="284"/>
      <c r="S25" s="291">
        <f t="shared" si="13"/>
        <v>0</v>
      </c>
      <c r="T25" s="292"/>
      <c r="U25" s="293"/>
      <c r="V25" s="257">
        <f>IF(祝日!A46=1,TIME(0,$BD$8 * 60,0),"")</f>
        <v>0.33333333333333331</v>
      </c>
      <c r="W25" s="258"/>
      <c r="X25" s="259"/>
      <c r="Y25" s="234">
        <f>IF(K25="",IF(O25="",IF(V25="","",祝日!J46-S25),祝日!J46-S25),祝日!J46-S25)</f>
        <v>0</v>
      </c>
      <c r="Z25" s="235"/>
      <c r="AA25" s="235"/>
      <c r="AB25" s="236"/>
      <c r="AC25" s="234">
        <f t="shared" si="5"/>
        <v>0</v>
      </c>
      <c r="AD25" s="236"/>
      <c r="AE25" s="234">
        <f>IF(OR(BS25,BT25,BU25),"",IF(O25&lt;=SetData!$C$40,0,O25-SetData!$C$40))</f>
        <v>0</v>
      </c>
      <c r="AF25" s="236"/>
      <c r="AG25" s="234" t="str">
        <f t="shared" si="6"/>
        <v/>
      </c>
      <c r="AH25" s="236"/>
      <c r="AI25" s="234" t="str">
        <f>IF(OR(BS25,BT25,BU25),IF(O25&lt;=SetData!$C$40,0,O25-SetData!$C$40),"")</f>
        <v/>
      </c>
      <c r="AJ25" s="236"/>
      <c r="AK25" s="244"/>
      <c r="AL25" s="243"/>
      <c r="AM25" s="243"/>
      <c r="AN25" s="243"/>
      <c r="AO25" s="243"/>
      <c r="AP25" s="243"/>
      <c r="AQ25" s="243"/>
      <c r="AR25" s="243"/>
      <c r="AS25" s="243"/>
      <c r="AT25" s="51"/>
      <c r="AU25" s="1" t="str">
        <f>IF(ISNA( VLOOKUP(Y25,SetData!$D$3:$F$14,3,FALSE)),"",VLOOKUP(Y25,SetData!$D$3:$F$14,3,FALSE))</f>
        <v/>
      </c>
      <c r="AV25" s="1" t="str">
        <f>IF(OR(AU25=6,AU25=7,AU25=8,AU25=9),IF(ISNA( VLOOKUP(Y25,SetData!$D$3:$F$14,2,FALSE)),"",VLOOKUP(Y25,SetData!$D$3:$F$14,2,FALSE)),"")</f>
        <v/>
      </c>
      <c r="AW25" s="109"/>
      <c r="AX25" s="1" t="str">
        <f>IF(ISNA( VLOOKUP(AC25,SetData!$D$3:$F$14,3,FALSE)),"",VLOOKUP(AC25,SetData!$D$3:$F$14,3,FALSE))</f>
        <v/>
      </c>
      <c r="AY25" s="1" t="str">
        <f>IF(OR(AX25=6,AX25=7,AX25=8,AX25=9),IF(ISNA( VLOOKUP(AC25,SetData!$D$3:$F$14,2,FALSE)),"",VLOOKUP(AC25,SetData!$D$3:$F$14,2,FALSE)),"")</f>
        <v/>
      </c>
      <c r="AZ25" s="4"/>
      <c r="BA25" s="10"/>
      <c r="BB25" s="10"/>
      <c r="BC25" s="10"/>
      <c r="BD25" s="10"/>
      <c r="BE25" s="10"/>
      <c r="BF25" s="10"/>
      <c r="BG25" s="118"/>
      <c r="BH25" s="118"/>
      <c r="BI25" s="118"/>
      <c r="BJ25" s="118"/>
      <c r="BK25" s="118"/>
      <c r="BL25" s="118"/>
      <c r="BM25" s="118"/>
      <c r="BN25" s="113"/>
      <c r="BO25" s="113" t="b">
        <f t="shared" si="1"/>
        <v>0</v>
      </c>
      <c r="BP25" s="113" t="b">
        <f t="shared" si="2"/>
        <v>0</v>
      </c>
      <c r="BQ25" s="114" t="b">
        <f t="shared" si="3"/>
        <v>0</v>
      </c>
      <c r="BR25" s="115" t="b">
        <f t="shared" si="7"/>
        <v>0</v>
      </c>
      <c r="BS25" s="115" t="b">
        <f t="shared" si="8"/>
        <v>0</v>
      </c>
      <c r="BT25" s="115" t="b">
        <f t="shared" si="9"/>
        <v>0</v>
      </c>
      <c r="BU25" s="115" t="b">
        <f t="shared" si="10"/>
        <v>0</v>
      </c>
      <c r="BV25" s="115"/>
      <c r="BW25" s="74" t="b">
        <f t="shared" si="11"/>
        <v>0</v>
      </c>
      <c r="BX25" s="115"/>
      <c r="BY25" s="115"/>
      <c r="BZ25" s="116">
        <f t="shared" si="14"/>
        <v>0</v>
      </c>
      <c r="CA25" s="115"/>
      <c r="CB25" s="117" t="str">
        <f t="shared" si="4"/>
        <v/>
      </c>
      <c r="CC25" s="115"/>
      <c r="CD25" s="115"/>
      <c r="CE25" s="115"/>
      <c r="CF25" s="115"/>
      <c r="CG25" s="115"/>
      <c r="CH25" s="115"/>
      <c r="CI25" s="1"/>
      <c r="CJ25" s="1"/>
      <c r="CK25" s="1"/>
      <c r="CL25" s="1"/>
      <c r="CM25" s="1"/>
      <c r="CN25" s="1"/>
    </row>
    <row r="26" spans="1:92" ht="21" customHeight="1">
      <c r="A26" s="310">
        <f t="shared" si="12"/>
        <v>42718</v>
      </c>
      <c r="B26" s="311"/>
      <c r="C26" s="312"/>
      <c r="D26" s="309">
        <f t="shared" si="0"/>
        <v>4</v>
      </c>
      <c r="E26" s="309"/>
      <c r="F26" s="309"/>
      <c r="G26" s="254"/>
      <c r="H26" s="255"/>
      <c r="I26" s="255"/>
      <c r="J26" s="256"/>
      <c r="K26" s="282"/>
      <c r="L26" s="283"/>
      <c r="M26" s="283"/>
      <c r="N26" s="284"/>
      <c r="O26" s="282"/>
      <c r="P26" s="283"/>
      <c r="Q26" s="283"/>
      <c r="R26" s="284"/>
      <c r="S26" s="291">
        <f t="shared" si="13"/>
        <v>0</v>
      </c>
      <c r="T26" s="292"/>
      <c r="U26" s="293"/>
      <c r="V26" s="257">
        <f>IF(祝日!A47=1,TIME(0,$BD$8 * 60,0),"")</f>
        <v>0.33333333333333331</v>
      </c>
      <c r="W26" s="258"/>
      <c r="X26" s="259"/>
      <c r="Y26" s="234">
        <f>IF(K26="",IF(O26="",IF(V26="","",祝日!J47-S26),祝日!J47-S26),祝日!J47-S26)</f>
        <v>0</v>
      </c>
      <c r="Z26" s="235"/>
      <c r="AA26" s="235"/>
      <c r="AB26" s="236"/>
      <c r="AC26" s="234">
        <f t="shared" si="5"/>
        <v>0</v>
      </c>
      <c r="AD26" s="236"/>
      <c r="AE26" s="234">
        <f>IF(OR(BS26,BT26,BU26),"",IF(O26&lt;=SetData!$C$40,0,O26-SetData!$C$40))</f>
        <v>0</v>
      </c>
      <c r="AF26" s="236"/>
      <c r="AG26" s="234" t="str">
        <f t="shared" si="6"/>
        <v/>
      </c>
      <c r="AH26" s="236"/>
      <c r="AI26" s="234" t="str">
        <f>IF(OR(BS26,BT26,BU26),IF(O26&lt;=SetData!$C$40,0,O26-SetData!$C$40),"")</f>
        <v/>
      </c>
      <c r="AJ26" s="236"/>
      <c r="AK26" s="243"/>
      <c r="AL26" s="243"/>
      <c r="AM26" s="243"/>
      <c r="AN26" s="243"/>
      <c r="AO26" s="243"/>
      <c r="AP26" s="243"/>
      <c r="AQ26" s="243"/>
      <c r="AR26" s="243"/>
      <c r="AS26" s="243"/>
      <c r="AT26" s="51"/>
      <c r="AU26" s="1" t="str">
        <f>IF(ISNA( VLOOKUP(Y26,SetData!$D$3:$F$14,3,FALSE)),"",VLOOKUP(Y26,SetData!$D$3:$F$14,3,FALSE))</f>
        <v/>
      </c>
      <c r="AV26" s="1" t="str">
        <f>IF(OR(AU26=6,AU26=7,AU26=8,AU26=9),IF(ISNA( VLOOKUP(Y26,SetData!$D$3:$F$14,2,FALSE)),"",VLOOKUP(Y26,SetData!$D$3:$F$14,2,FALSE)),"")</f>
        <v/>
      </c>
      <c r="AW26" s="109"/>
      <c r="AX26" s="1" t="str">
        <f>IF(ISNA( VLOOKUP(AC26,SetData!$D$3:$F$14,3,FALSE)),"",VLOOKUP(AC26,SetData!$D$3:$F$14,3,FALSE))</f>
        <v/>
      </c>
      <c r="AY26" s="1" t="str">
        <f>IF(OR(AX26=6,AX26=7,AX26=8,AX26=9),IF(ISNA( VLOOKUP(AC26,SetData!$D$3:$F$14,2,FALSE)),"",VLOOKUP(AC26,SetData!$D$3:$F$14,2,FALSE)),"")</f>
        <v/>
      </c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112"/>
      <c r="BO26" s="113" t="b">
        <f t="shared" si="1"/>
        <v>0</v>
      </c>
      <c r="BP26" s="113" t="b">
        <f t="shared" si="2"/>
        <v>0</v>
      </c>
      <c r="BQ26" s="114" t="b">
        <f t="shared" si="3"/>
        <v>0</v>
      </c>
      <c r="BR26" s="115" t="b">
        <f t="shared" si="7"/>
        <v>0</v>
      </c>
      <c r="BS26" s="115" t="b">
        <f t="shared" si="8"/>
        <v>0</v>
      </c>
      <c r="BT26" s="115" t="b">
        <f t="shared" si="9"/>
        <v>0</v>
      </c>
      <c r="BU26" s="115" t="b">
        <f t="shared" si="10"/>
        <v>0</v>
      </c>
      <c r="BV26" s="115"/>
      <c r="BW26" s="74" t="b">
        <f t="shared" si="11"/>
        <v>0</v>
      </c>
      <c r="BX26" s="115"/>
      <c r="BY26" s="115"/>
      <c r="BZ26" s="116">
        <f t="shared" si="14"/>
        <v>0</v>
      </c>
      <c r="CA26" s="115"/>
      <c r="CB26" s="117" t="str">
        <f t="shared" si="4"/>
        <v/>
      </c>
      <c r="CC26" s="115"/>
      <c r="CD26" s="115"/>
      <c r="CE26" s="115"/>
      <c r="CF26" s="115"/>
      <c r="CG26" s="115"/>
      <c r="CH26" s="115"/>
      <c r="CI26" s="1"/>
      <c r="CJ26" s="1"/>
      <c r="CK26" s="1"/>
      <c r="CL26" s="1"/>
      <c r="CM26" s="1"/>
      <c r="CN26" s="1"/>
    </row>
    <row r="27" spans="1:92" ht="21" customHeight="1">
      <c r="A27" s="310">
        <f t="shared" si="12"/>
        <v>42719</v>
      </c>
      <c r="B27" s="311"/>
      <c r="C27" s="312"/>
      <c r="D27" s="309">
        <f t="shared" si="0"/>
        <v>5</v>
      </c>
      <c r="E27" s="309"/>
      <c r="F27" s="309"/>
      <c r="G27" s="254"/>
      <c r="H27" s="255"/>
      <c r="I27" s="255"/>
      <c r="J27" s="256"/>
      <c r="K27" s="282"/>
      <c r="L27" s="283"/>
      <c r="M27" s="283"/>
      <c r="N27" s="284"/>
      <c r="O27" s="282"/>
      <c r="P27" s="283"/>
      <c r="Q27" s="283"/>
      <c r="R27" s="284"/>
      <c r="S27" s="291">
        <f t="shared" si="13"/>
        <v>0</v>
      </c>
      <c r="T27" s="292"/>
      <c r="U27" s="293"/>
      <c r="V27" s="257">
        <f>IF(祝日!A48=1,TIME(0,$BD$8 * 60,0),"")</f>
        <v>0.33333333333333331</v>
      </c>
      <c r="W27" s="258"/>
      <c r="X27" s="259"/>
      <c r="Y27" s="234">
        <f>IF(K27="",IF(O27="",IF(V27="","",祝日!J48-S27),祝日!J48-S27),祝日!J48-S27)</f>
        <v>0</v>
      </c>
      <c r="Z27" s="235"/>
      <c r="AA27" s="235"/>
      <c r="AB27" s="236"/>
      <c r="AC27" s="234">
        <f t="shared" si="5"/>
        <v>0</v>
      </c>
      <c r="AD27" s="236"/>
      <c r="AE27" s="234">
        <f>IF(OR(BS27,BT27,BU27),"",IF(O27&lt;=SetData!$C$40,0,O27-SetData!$C$40))</f>
        <v>0</v>
      </c>
      <c r="AF27" s="236"/>
      <c r="AG27" s="234" t="str">
        <f t="shared" si="6"/>
        <v/>
      </c>
      <c r="AH27" s="236"/>
      <c r="AI27" s="234" t="str">
        <f>IF(OR(BS27,BT27,BU27),IF(O27&lt;=SetData!$C$40,0,O27-SetData!$C$40),"")</f>
        <v/>
      </c>
      <c r="AJ27" s="236"/>
      <c r="AK27" s="244"/>
      <c r="AL27" s="243"/>
      <c r="AM27" s="243"/>
      <c r="AN27" s="243"/>
      <c r="AO27" s="243"/>
      <c r="AP27" s="243"/>
      <c r="AQ27" s="243"/>
      <c r="AR27" s="243"/>
      <c r="AS27" s="243"/>
      <c r="AT27" s="51"/>
      <c r="AU27" s="1" t="str">
        <f>IF(ISNA( VLOOKUP(Y27,SetData!$D$3:$F$14,3,FALSE)),"",VLOOKUP(Y27,SetData!$D$3:$F$14,3,FALSE))</f>
        <v/>
      </c>
      <c r="AV27" s="1" t="str">
        <f>IF(OR(AU27=6,AU27=7,AU27=8,AU27=9),IF(ISNA( VLOOKUP(Y27,SetData!$D$3:$F$14,2,FALSE)),"",VLOOKUP(Y27,SetData!$D$3:$F$14,2,FALSE)),"")</f>
        <v/>
      </c>
      <c r="AW27" s="109"/>
      <c r="AX27" s="1" t="str">
        <f>IF(ISNA( VLOOKUP(AC27,SetData!$D$3:$F$14,3,FALSE)),"",VLOOKUP(AC27,SetData!$D$3:$F$14,3,FALSE))</f>
        <v/>
      </c>
      <c r="AY27" s="1" t="str">
        <f>IF(OR(AX27=6,AX27=7,AX27=8,AX27=9),IF(ISNA( VLOOKUP(AC27,SetData!$D$3:$F$14,2,FALSE)),"",VLOOKUP(AC27,SetData!$D$3:$F$14,2,FALSE)),"")</f>
        <v/>
      </c>
      <c r="AZ27" s="4"/>
      <c r="BA27" s="10"/>
      <c r="BB27" s="10"/>
      <c r="BC27" s="10"/>
      <c r="BD27" s="10"/>
      <c r="BE27" s="10"/>
      <c r="BF27" s="10"/>
      <c r="BG27" s="119"/>
      <c r="BH27" s="118"/>
      <c r="BI27" s="118"/>
      <c r="BJ27" s="118"/>
      <c r="BK27" s="120"/>
      <c r="BL27" s="119"/>
      <c r="BM27" s="118"/>
      <c r="BN27" s="113"/>
      <c r="BO27" s="113" t="b">
        <f t="shared" si="1"/>
        <v>0</v>
      </c>
      <c r="BP27" s="113" t="b">
        <f t="shared" si="2"/>
        <v>0</v>
      </c>
      <c r="BQ27" s="114" t="b">
        <f t="shared" si="3"/>
        <v>0</v>
      </c>
      <c r="BR27" s="115" t="b">
        <f t="shared" si="7"/>
        <v>0</v>
      </c>
      <c r="BS27" s="115" t="b">
        <f t="shared" si="8"/>
        <v>0</v>
      </c>
      <c r="BT27" s="115" t="b">
        <f t="shared" si="9"/>
        <v>0</v>
      </c>
      <c r="BU27" s="115" t="b">
        <f t="shared" si="10"/>
        <v>0</v>
      </c>
      <c r="BV27" s="115"/>
      <c r="BW27" s="74" t="b">
        <f t="shared" si="11"/>
        <v>0</v>
      </c>
      <c r="BX27" s="115"/>
      <c r="BY27" s="115"/>
      <c r="BZ27" s="116">
        <f t="shared" si="14"/>
        <v>0</v>
      </c>
      <c r="CA27" s="115"/>
      <c r="CB27" s="117" t="str">
        <f t="shared" si="4"/>
        <v/>
      </c>
      <c r="CC27" s="115"/>
      <c r="CD27" s="115"/>
      <c r="CE27" s="115"/>
      <c r="CF27" s="115"/>
      <c r="CG27" s="115"/>
      <c r="CH27" s="115"/>
      <c r="CI27" s="1"/>
      <c r="CJ27" s="1"/>
      <c r="CK27" s="1"/>
      <c r="CL27" s="1"/>
      <c r="CM27" s="1"/>
      <c r="CN27" s="1"/>
    </row>
    <row r="28" spans="1:92" ht="21" customHeight="1">
      <c r="A28" s="310">
        <f t="shared" si="12"/>
        <v>42720</v>
      </c>
      <c r="B28" s="311"/>
      <c r="C28" s="312"/>
      <c r="D28" s="309">
        <f t="shared" si="0"/>
        <v>6</v>
      </c>
      <c r="E28" s="309"/>
      <c r="F28" s="309"/>
      <c r="G28" s="254"/>
      <c r="H28" s="255"/>
      <c r="I28" s="255"/>
      <c r="J28" s="256"/>
      <c r="K28" s="282"/>
      <c r="L28" s="283"/>
      <c r="M28" s="283"/>
      <c r="N28" s="284"/>
      <c r="O28" s="282"/>
      <c r="P28" s="283"/>
      <c r="Q28" s="283"/>
      <c r="R28" s="284"/>
      <c r="S28" s="291">
        <f t="shared" si="13"/>
        <v>0</v>
      </c>
      <c r="T28" s="292"/>
      <c r="U28" s="293"/>
      <c r="V28" s="257">
        <f>IF(祝日!A49=1,TIME(0,$BD$8 * 60,0),"")</f>
        <v>0.33333333333333331</v>
      </c>
      <c r="W28" s="258"/>
      <c r="X28" s="259"/>
      <c r="Y28" s="234">
        <f>IF(K28="",IF(O28="",IF(V28="","",祝日!J49-S28),祝日!J49-S28),祝日!J49-S28)</f>
        <v>0</v>
      </c>
      <c r="Z28" s="235"/>
      <c r="AA28" s="235"/>
      <c r="AB28" s="236"/>
      <c r="AC28" s="234">
        <f t="shared" si="5"/>
        <v>0</v>
      </c>
      <c r="AD28" s="236"/>
      <c r="AE28" s="234">
        <f>IF(OR(BS28,BT28,BU28),"",IF(O28&lt;=SetData!$C$40,0,O28-SetData!$C$40))</f>
        <v>0</v>
      </c>
      <c r="AF28" s="236"/>
      <c r="AG28" s="234" t="str">
        <f t="shared" si="6"/>
        <v/>
      </c>
      <c r="AH28" s="236"/>
      <c r="AI28" s="234" t="str">
        <f>IF(OR(BS28,BT28,BU28),IF(O28&lt;=SetData!$C$40,0,O28-SetData!$C$40),"")</f>
        <v/>
      </c>
      <c r="AJ28" s="236"/>
      <c r="AK28" s="244"/>
      <c r="AL28" s="243"/>
      <c r="AM28" s="243"/>
      <c r="AN28" s="243"/>
      <c r="AO28" s="243"/>
      <c r="AP28" s="243"/>
      <c r="AQ28" s="243"/>
      <c r="AR28" s="243"/>
      <c r="AS28" s="243"/>
      <c r="AT28" s="51"/>
      <c r="AU28" s="1" t="str">
        <f>IF(ISNA( VLOOKUP(Y28,SetData!$D$3:$F$14,3,FALSE)),"",VLOOKUP(Y28,SetData!$D$3:$F$14,3,FALSE))</f>
        <v/>
      </c>
      <c r="AV28" s="1" t="str">
        <f>IF(OR(AU28=6,AU28=7,AU28=8,AU28=9),IF(ISNA( VLOOKUP(Y28,SetData!$D$3:$F$14,2,FALSE)),"",VLOOKUP(Y28,SetData!$D$3:$F$14,2,FALSE)),"")</f>
        <v/>
      </c>
      <c r="AW28" s="109"/>
      <c r="AX28" s="1" t="str">
        <f>IF(ISNA( VLOOKUP(AC28,SetData!$D$3:$F$14,3,FALSE)),"",VLOOKUP(AC28,SetData!$D$3:$F$14,3,FALSE))</f>
        <v/>
      </c>
      <c r="AY28" s="1" t="str">
        <f>IF(OR(AX28=6,AX28=7,AX28=8,AX28=9),IF(ISNA( VLOOKUP(AC28,SetData!$D$3:$F$14,2,FALSE)),"",VLOOKUP(AC28,SetData!$D$3:$F$14,2,FALSE)),"")</f>
        <v/>
      </c>
      <c r="AZ28" s="4"/>
      <c r="BA28" s="10"/>
      <c r="BB28" s="10"/>
      <c r="BC28" s="10"/>
      <c r="BD28" s="10"/>
      <c r="BE28" s="10"/>
      <c r="BF28" s="10"/>
      <c r="BG28" s="119"/>
      <c r="BH28" s="118"/>
      <c r="BI28" s="118"/>
      <c r="BJ28" s="118"/>
      <c r="BK28" s="120"/>
      <c r="BL28" s="119"/>
      <c r="BM28" s="118"/>
      <c r="BN28" s="113"/>
      <c r="BO28" s="113" t="b">
        <f t="shared" si="1"/>
        <v>0</v>
      </c>
      <c r="BP28" s="113" t="b">
        <f t="shared" si="2"/>
        <v>0</v>
      </c>
      <c r="BQ28" s="114" t="b">
        <f t="shared" si="3"/>
        <v>0</v>
      </c>
      <c r="BR28" s="115" t="b">
        <f t="shared" si="7"/>
        <v>0</v>
      </c>
      <c r="BS28" s="115" t="b">
        <f t="shared" si="8"/>
        <v>0</v>
      </c>
      <c r="BT28" s="115" t="b">
        <f t="shared" si="9"/>
        <v>0</v>
      </c>
      <c r="BU28" s="115" t="b">
        <f t="shared" si="10"/>
        <v>0</v>
      </c>
      <c r="BV28" s="115"/>
      <c r="BW28" s="74" t="b">
        <f t="shared" si="11"/>
        <v>0</v>
      </c>
      <c r="BX28" s="115"/>
      <c r="BY28" s="115"/>
      <c r="BZ28" s="116">
        <f t="shared" si="14"/>
        <v>0</v>
      </c>
      <c r="CA28" s="115"/>
      <c r="CB28" s="117" t="str">
        <f t="shared" si="4"/>
        <v/>
      </c>
      <c r="CC28" s="115"/>
      <c r="CD28" s="115"/>
      <c r="CE28" s="115"/>
      <c r="CF28" s="115"/>
      <c r="CG28" s="115"/>
      <c r="CH28" s="115"/>
      <c r="CI28" s="1"/>
      <c r="CJ28" s="1"/>
      <c r="CK28" s="1"/>
      <c r="CL28" s="1"/>
      <c r="CM28" s="1"/>
      <c r="CN28" s="1"/>
    </row>
    <row r="29" spans="1:92" ht="21" customHeight="1">
      <c r="A29" s="310">
        <f t="shared" si="12"/>
        <v>42721</v>
      </c>
      <c r="B29" s="311"/>
      <c r="C29" s="312"/>
      <c r="D29" s="309">
        <f t="shared" si="0"/>
        <v>7</v>
      </c>
      <c r="E29" s="309"/>
      <c r="F29" s="309"/>
      <c r="G29" s="254"/>
      <c r="H29" s="255"/>
      <c r="I29" s="255"/>
      <c r="J29" s="256"/>
      <c r="K29" s="282"/>
      <c r="L29" s="283"/>
      <c r="M29" s="283"/>
      <c r="N29" s="284"/>
      <c r="O29" s="282"/>
      <c r="P29" s="283"/>
      <c r="Q29" s="283"/>
      <c r="R29" s="284"/>
      <c r="S29" s="291">
        <f t="shared" si="13"/>
        <v>0</v>
      </c>
      <c r="T29" s="292"/>
      <c r="U29" s="293"/>
      <c r="V29" s="257" t="str">
        <f>IF(祝日!A50=1,TIME(0,$BD$8 * 60,0),"")</f>
        <v/>
      </c>
      <c r="W29" s="258"/>
      <c r="X29" s="259"/>
      <c r="Y29" s="234" t="str">
        <f>IF(K29="",IF(O29="",IF(V29="","",祝日!J50-S29),祝日!J50-S29),祝日!J50-S29)</f>
        <v/>
      </c>
      <c r="Z29" s="235"/>
      <c r="AA29" s="235"/>
      <c r="AB29" s="236"/>
      <c r="AC29" s="234">
        <f t="shared" si="5"/>
        <v>0</v>
      </c>
      <c r="AD29" s="236"/>
      <c r="AE29" s="234">
        <f>IF(OR(BS29,BT29,BU29),"",IF(O29&lt;=SetData!$C$40,0,O29-SetData!$C$40))</f>
        <v>0</v>
      </c>
      <c r="AF29" s="236"/>
      <c r="AG29" s="234" t="str">
        <f t="shared" si="6"/>
        <v/>
      </c>
      <c r="AH29" s="236"/>
      <c r="AI29" s="234" t="str">
        <f>IF(OR(BS29,BT29,BU29),IF(O29&lt;=SetData!$C$40,0,O29-SetData!$C$40),"")</f>
        <v/>
      </c>
      <c r="AJ29" s="236"/>
      <c r="AK29" s="243"/>
      <c r="AL29" s="243"/>
      <c r="AM29" s="243"/>
      <c r="AN29" s="243"/>
      <c r="AO29" s="243"/>
      <c r="AP29" s="243"/>
      <c r="AQ29" s="243"/>
      <c r="AR29" s="243"/>
      <c r="AS29" s="243"/>
      <c r="AT29" s="51"/>
      <c r="AU29" s="1" t="str">
        <f>IF(ISNA( VLOOKUP(Y29,SetData!$D$3:$F$14,3,FALSE)),"",VLOOKUP(Y29,SetData!$D$3:$F$14,3,FALSE))</f>
        <v/>
      </c>
      <c r="AV29" s="1" t="str">
        <f>IF(OR(AU29=6,AU29=7,AU29=8,AU29=9),IF(ISNA( VLOOKUP(Y29,SetData!$D$3:$F$14,2,FALSE)),"",VLOOKUP(Y29,SetData!$D$3:$F$14,2,FALSE)),"")</f>
        <v/>
      </c>
      <c r="AW29" s="109"/>
      <c r="AX29" s="1" t="str">
        <f>IF(ISNA( VLOOKUP(AC29,SetData!$D$3:$F$14,3,FALSE)),"",VLOOKUP(AC29,SetData!$D$3:$F$14,3,FALSE))</f>
        <v/>
      </c>
      <c r="AY29" s="1" t="str">
        <f>IF(OR(AX29=6,AX29=7,AX29=8,AX29=9),IF(ISNA( VLOOKUP(AC29,SetData!$D$3:$F$14,2,FALSE)),"",VLOOKUP(AC29,SetData!$D$3:$F$14,2,FALSE)),"")</f>
        <v/>
      </c>
      <c r="AZ29" s="4"/>
      <c r="BA29" s="10"/>
      <c r="BB29" s="10"/>
      <c r="BC29" s="10"/>
      <c r="BD29" s="10"/>
      <c r="BE29" s="10"/>
      <c r="BF29" s="10"/>
      <c r="BG29" s="119"/>
      <c r="BH29" s="118"/>
      <c r="BI29" s="118"/>
      <c r="BJ29" s="118"/>
      <c r="BK29" s="120"/>
      <c r="BL29" s="119"/>
      <c r="BM29" s="118"/>
      <c r="BN29" s="113"/>
      <c r="BO29" s="113" t="b">
        <f t="shared" si="1"/>
        <v>1</v>
      </c>
      <c r="BP29" s="113" t="b">
        <f t="shared" si="2"/>
        <v>0</v>
      </c>
      <c r="BQ29" s="114" t="b">
        <f t="shared" si="3"/>
        <v>0</v>
      </c>
      <c r="BR29" s="115" t="b">
        <f t="shared" si="7"/>
        <v>1</v>
      </c>
      <c r="BS29" s="115" t="b">
        <f t="shared" si="8"/>
        <v>0</v>
      </c>
      <c r="BT29" s="115" t="b">
        <f t="shared" si="9"/>
        <v>0</v>
      </c>
      <c r="BU29" s="115" t="b">
        <f t="shared" si="10"/>
        <v>0</v>
      </c>
      <c r="BV29" s="115"/>
      <c r="BW29" s="74" t="b">
        <f t="shared" si="11"/>
        <v>0</v>
      </c>
      <c r="BX29" s="115"/>
      <c r="BY29" s="115"/>
      <c r="BZ29" s="116">
        <f t="shared" si="14"/>
        <v>0</v>
      </c>
      <c r="CA29" s="115"/>
      <c r="CB29" s="117" t="str">
        <f t="shared" si="4"/>
        <v/>
      </c>
      <c r="CC29" s="115"/>
      <c r="CD29" s="115"/>
      <c r="CE29" s="115"/>
      <c r="CF29" s="115"/>
      <c r="CG29" s="115"/>
      <c r="CH29" s="115"/>
      <c r="CI29" s="1"/>
      <c r="CJ29" s="1"/>
      <c r="CK29" s="1"/>
      <c r="CL29" s="1"/>
      <c r="CM29" s="1"/>
      <c r="CN29" s="1"/>
    </row>
    <row r="30" spans="1:92" ht="21" customHeight="1">
      <c r="A30" s="310">
        <f t="shared" si="12"/>
        <v>42722</v>
      </c>
      <c r="B30" s="311"/>
      <c r="C30" s="312"/>
      <c r="D30" s="309">
        <f t="shared" si="0"/>
        <v>1</v>
      </c>
      <c r="E30" s="309"/>
      <c r="F30" s="309"/>
      <c r="G30" s="254"/>
      <c r="H30" s="255"/>
      <c r="I30" s="255"/>
      <c r="J30" s="256"/>
      <c r="K30" s="282"/>
      <c r="L30" s="283"/>
      <c r="M30" s="283"/>
      <c r="N30" s="284"/>
      <c r="O30" s="282"/>
      <c r="P30" s="283"/>
      <c r="Q30" s="283"/>
      <c r="R30" s="284"/>
      <c r="S30" s="291">
        <f t="shared" si="13"/>
        <v>0</v>
      </c>
      <c r="T30" s="292"/>
      <c r="U30" s="293"/>
      <c r="V30" s="257" t="str">
        <f>IF(祝日!A51=1,TIME(0,$BD$8 * 60,0),"")</f>
        <v/>
      </c>
      <c r="W30" s="258"/>
      <c r="X30" s="259"/>
      <c r="Y30" s="234" t="str">
        <f>IF(K30="",IF(O30="",IF(V30="","",祝日!J51-S30),祝日!J51-S30),祝日!J51-S30)</f>
        <v/>
      </c>
      <c r="Z30" s="235"/>
      <c r="AA30" s="235"/>
      <c r="AB30" s="236"/>
      <c r="AC30" s="234">
        <f t="shared" si="5"/>
        <v>0</v>
      </c>
      <c r="AD30" s="236"/>
      <c r="AE30" s="234">
        <f>IF(OR(BS30,BT30,BU30),"",IF(O30&lt;=SetData!$C$40,0,O30-SetData!$C$40))</f>
        <v>0</v>
      </c>
      <c r="AF30" s="236"/>
      <c r="AG30" s="234" t="str">
        <f t="shared" si="6"/>
        <v/>
      </c>
      <c r="AH30" s="236"/>
      <c r="AI30" s="234" t="str">
        <f>IF(OR(BS30,BT30,BU30),IF(O30&lt;=SetData!$C$40,0,O30-SetData!$C$40),"")</f>
        <v/>
      </c>
      <c r="AJ30" s="236"/>
      <c r="AK30" s="243"/>
      <c r="AL30" s="243"/>
      <c r="AM30" s="243"/>
      <c r="AN30" s="243"/>
      <c r="AO30" s="243"/>
      <c r="AP30" s="243"/>
      <c r="AQ30" s="243"/>
      <c r="AR30" s="243"/>
      <c r="AS30" s="243"/>
      <c r="AT30" s="51"/>
      <c r="AU30" s="1" t="str">
        <f>IF(ISNA( VLOOKUP(Y30,SetData!$D$3:$F$14,3,FALSE)),"",VLOOKUP(Y30,SetData!$D$3:$F$14,3,FALSE))</f>
        <v/>
      </c>
      <c r="AV30" s="1" t="str">
        <f>IF(OR(AU30=6,AU30=7,AU30=8,AU30=9),IF(ISNA( VLOOKUP(Y30,SetData!$D$3:$F$14,2,FALSE)),"",VLOOKUP(Y30,SetData!$D$3:$F$14,2,FALSE)),"")</f>
        <v/>
      </c>
      <c r="AW30" s="109"/>
      <c r="AX30" s="1" t="str">
        <f>IF(ISNA( VLOOKUP(AC30,SetData!$D$3:$F$14,3,FALSE)),"",VLOOKUP(AC30,SetData!$D$3:$F$14,3,FALSE))</f>
        <v/>
      </c>
      <c r="AY30" s="1" t="str">
        <f>IF(OR(AX30=6,AX30=7,AX30=8,AX30=9),IF(ISNA( VLOOKUP(AC30,SetData!$D$3:$F$14,2,FALSE)),"",VLOOKUP(AC30,SetData!$D$3:$F$14,2,FALSE)),"")</f>
        <v/>
      </c>
      <c r="AZ30" s="4"/>
      <c r="BA30" s="10"/>
      <c r="BB30" s="10"/>
      <c r="BC30" s="10"/>
      <c r="BD30" s="10"/>
      <c r="BE30" s="10"/>
      <c r="BF30" s="10"/>
      <c r="BG30" s="119"/>
      <c r="BH30" s="118"/>
      <c r="BI30" s="118"/>
      <c r="BJ30" s="118"/>
      <c r="BK30" s="120"/>
      <c r="BL30" s="119"/>
      <c r="BM30" s="118"/>
      <c r="BN30" s="113"/>
      <c r="BO30" s="113" t="b">
        <f t="shared" si="1"/>
        <v>0</v>
      </c>
      <c r="BP30" s="113" t="b">
        <f t="shared" si="2"/>
        <v>1</v>
      </c>
      <c r="BQ30" s="114" t="b">
        <f t="shared" si="3"/>
        <v>0</v>
      </c>
      <c r="BR30" s="115" t="b">
        <f t="shared" si="7"/>
        <v>0</v>
      </c>
      <c r="BS30" s="115" t="b">
        <f t="shared" si="8"/>
        <v>0</v>
      </c>
      <c r="BT30" s="115" t="b">
        <f t="shared" si="9"/>
        <v>0</v>
      </c>
      <c r="BU30" s="115" t="b">
        <f t="shared" si="10"/>
        <v>0</v>
      </c>
      <c r="BV30" s="115"/>
      <c r="BW30" s="74" t="b">
        <f t="shared" si="11"/>
        <v>0</v>
      </c>
      <c r="BX30" s="115"/>
      <c r="BY30" s="115"/>
      <c r="BZ30" s="116">
        <f t="shared" si="14"/>
        <v>0</v>
      </c>
      <c r="CA30" s="115"/>
      <c r="CB30" s="117" t="str">
        <f t="shared" si="4"/>
        <v/>
      </c>
      <c r="CC30" s="115"/>
      <c r="CD30" s="115"/>
      <c r="CE30" s="115"/>
      <c r="CF30" s="115"/>
      <c r="CG30" s="115"/>
      <c r="CH30" s="115"/>
      <c r="CI30" s="1"/>
      <c r="CJ30" s="1"/>
      <c r="CK30" s="1"/>
      <c r="CL30" s="1"/>
      <c r="CM30" s="1"/>
      <c r="CN30" s="1"/>
    </row>
    <row r="31" spans="1:92" ht="21" customHeight="1">
      <c r="A31" s="310">
        <f t="shared" si="12"/>
        <v>42723</v>
      </c>
      <c r="B31" s="311"/>
      <c r="C31" s="312"/>
      <c r="D31" s="309">
        <f t="shared" si="0"/>
        <v>2</v>
      </c>
      <c r="E31" s="309"/>
      <c r="F31" s="309"/>
      <c r="G31" s="254"/>
      <c r="H31" s="255"/>
      <c r="I31" s="255"/>
      <c r="J31" s="256"/>
      <c r="K31" s="282"/>
      <c r="L31" s="283"/>
      <c r="M31" s="283"/>
      <c r="N31" s="284"/>
      <c r="O31" s="282"/>
      <c r="P31" s="283"/>
      <c r="Q31" s="283"/>
      <c r="R31" s="284"/>
      <c r="S31" s="291">
        <f t="shared" si="13"/>
        <v>0</v>
      </c>
      <c r="T31" s="292"/>
      <c r="U31" s="293"/>
      <c r="V31" s="257">
        <f>IF(祝日!A52=1,TIME(0,$BD$8 * 60,0),"")</f>
        <v>0.33333333333333331</v>
      </c>
      <c r="W31" s="258"/>
      <c r="X31" s="259"/>
      <c r="Y31" s="234">
        <f>IF(K31="",IF(O31="",IF(V31="","",祝日!J52-S31),祝日!J52-S31),祝日!J52-S31)</f>
        <v>0</v>
      </c>
      <c r="Z31" s="235"/>
      <c r="AA31" s="235"/>
      <c r="AB31" s="236"/>
      <c r="AC31" s="234">
        <f t="shared" si="5"/>
        <v>0</v>
      </c>
      <c r="AD31" s="236"/>
      <c r="AE31" s="234">
        <f>IF(OR(BS31,BT31,BU31),"",IF(O31&lt;=SetData!$C$40,0,O31-SetData!$C$40))</f>
        <v>0</v>
      </c>
      <c r="AF31" s="236"/>
      <c r="AG31" s="234" t="str">
        <f t="shared" si="6"/>
        <v/>
      </c>
      <c r="AH31" s="236"/>
      <c r="AI31" s="234" t="str">
        <f>IF(OR(BS31,BT31,BU31),IF(O31&lt;=SetData!$C$40,0,O31-SetData!$C$40),"")</f>
        <v/>
      </c>
      <c r="AJ31" s="236"/>
      <c r="AK31" s="244"/>
      <c r="AL31" s="243"/>
      <c r="AM31" s="243"/>
      <c r="AN31" s="243"/>
      <c r="AO31" s="243"/>
      <c r="AP31" s="243"/>
      <c r="AQ31" s="243"/>
      <c r="AR31" s="243"/>
      <c r="AS31" s="243"/>
      <c r="AT31" s="51"/>
      <c r="AU31" s="1" t="str">
        <f>IF(ISNA( VLOOKUP(Y31,SetData!$D$3:$F$14,3,FALSE)),"",VLOOKUP(Y31,SetData!$D$3:$F$14,3,FALSE))</f>
        <v/>
      </c>
      <c r="AV31" s="1" t="str">
        <f>IF(OR(AU31=6,AU31=7,AU31=8,AU31=9),IF(ISNA( VLOOKUP(Y31,SetData!$D$3:$F$14,2,FALSE)),"",VLOOKUP(Y31,SetData!$D$3:$F$14,2,FALSE)),"")</f>
        <v/>
      </c>
      <c r="AW31" s="109"/>
      <c r="AX31" s="1" t="str">
        <f>IF(ISNA( VLOOKUP(AC31,SetData!$D$3:$F$14,3,FALSE)),"",VLOOKUP(AC31,SetData!$D$3:$F$14,3,FALSE))</f>
        <v/>
      </c>
      <c r="AY31" s="1" t="str">
        <f>IF(OR(AX31=6,AX31=7,AX31=8,AX31=9),IF(ISNA( VLOOKUP(AC31,SetData!$D$3:$F$14,2,FALSE)),"",VLOOKUP(AC31,SetData!$D$3:$F$14,2,FALSE)),"")</f>
        <v/>
      </c>
      <c r="AZ31" s="4"/>
      <c r="BA31" s="10"/>
      <c r="BB31" s="10"/>
      <c r="BC31" s="10"/>
      <c r="BD31" s="10"/>
      <c r="BE31" s="10"/>
      <c r="BF31" s="10"/>
      <c r="BG31" s="119"/>
      <c r="BH31" s="118"/>
      <c r="BI31" s="118"/>
      <c r="BJ31" s="118"/>
      <c r="BK31" s="120"/>
      <c r="BL31" s="119"/>
      <c r="BM31" s="118"/>
      <c r="BN31" s="113"/>
      <c r="BO31" s="113" t="b">
        <f t="shared" si="1"/>
        <v>0</v>
      </c>
      <c r="BP31" s="113" t="b">
        <f t="shared" si="2"/>
        <v>0</v>
      </c>
      <c r="BQ31" s="114" t="b">
        <f t="shared" si="3"/>
        <v>0</v>
      </c>
      <c r="BR31" s="115" t="b">
        <f t="shared" si="7"/>
        <v>0</v>
      </c>
      <c r="BS31" s="115" t="b">
        <f t="shared" si="8"/>
        <v>0</v>
      </c>
      <c r="BT31" s="115" t="b">
        <f t="shared" si="9"/>
        <v>0</v>
      </c>
      <c r="BU31" s="115" t="b">
        <f t="shared" si="10"/>
        <v>0</v>
      </c>
      <c r="BV31" s="115"/>
      <c r="BW31" s="74" t="b">
        <f t="shared" si="11"/>
        <v>0</v>
      </c>
      <c r="BX31" s="115"/>
      <c r="BY31" s="115"/>
      <c r="BZ31" s="116">
        <f t="shared" si="14"/>
        <v>0</v>
      </c>
      <c r="CA31" s="115"/>
      <c r="CB31" s="117" t="str">
        <f t="shared" si="4"/>
        <v/>
      </c>
      <c r="CC31" s="115"/>
      <c r="CD31" s="115"/>
      <c r="CE31" s="115"/>
      <c r="CF31" s="115"/>
      <c r="CG31" s="115"/>
      <c r="CH31" s="115"/>
      <c r="CI31" s="1"/>
      <c r="CJ31" s="1"/>
      <c r="CK31" s="1"/>
      <c r="CL31" s="1"/>
      <c r="CM31" s="1"/>
      <c r="CN31" s="1"/>
    </row>
    <row r="32" spans="1:92" ht="21" customHeight="1">
      <c r="A32" s="310">
        <f t="shared" si="12"/>
        <v>42724</v>
      </c>
      <c r="B32" s="311"/>
      <c r="C32" s="312"/>
      <c r="D32" s="309">
        <f t="shared" si="0"/>
        <v>3</v>
      </c>
      <c r="E32" s="309"/>
      <c r="F32" s="309"/>
      <c r="G32" s="254" t="s">
        <v>88</v>
      </c>
      <c r="H32" s="255"/>
      <c r="I32" s="255"/>
      <c r="J32" s="256"/>
      <c r="K32" s="282">
        <v>0.41666666666666669</v>
      </c>
      <c r="L32" s="283"/>
      <c r="M32" s="283"/>
      <c r="N32" s="284"/>
      <c r="O32" s="282">
        <v>0.77083333333333337</v>
      </c>
      <c r="P32" s="283"/>
      <c r="Q32" s="283"/>
      <c r="R32" s="284"/>
      <c r="S32" s="291">
        <f t="shared" si="13"/>
        <v>3.125E-2</v>
      </c>
      <c r="T32" s="292"/>
      <c r="U32" s="293"/>
      <c r="V32" s="257">
        <f>IF(祝日!A53=1,TIME(0,$BD$8 * 60,0),"")</f>
        <v>0.33333333333333331</v>
      </c>
      <c r="W32" s="258"/>
      <c r="X32" s="259"/>
      <c r="Y32" s="234">
        <f>IF(K32="",IF(O32="",IF(V32="","",祝日!J53-S32),祝日!J53-S32),祝日!J53-S32)</f>
        <v>0.32291666666666669</v>
      </c>
      <c r="Z32" s="235"/>
      <c r="AA32" s="235"/>
      <c r="AB32" s="236"/>
      <c r="AC32" s="234">
        <f t="shared" si="5"/>
        <v>0</v>
      </c>
      <c r="AD32" s="236"/>
      <c r="AE32" s="234">
        <f>IF(OR(BS32,BT32,BU32),"",IF(O32&lt;=SetData!$C$40,0,O32-SetData!$C$40))</f>
        <v>0</v>
      </c>
      <c r="AF32" s="236"/>
      <c r="AG32" s="234" t="str">
        <f t="shared" si="6"/>
        <v/>
      </c>
      <c r="AH32" s="236"/>
      <c r="AI32" s="234" t="str">
        <f>IF(OR(BS32,BT32,BU32),IF(O32&lt;=SetData!$C$40,0,O32-SetData!$C$40),"")</f>
        <v/>
      </c>
      <c r="AJ32" s="236"/>
      <c r="AK32" s="244"/>
      <c r="AL32" s="243"/>
      <c r="AM32" s="243"/>
      <c r="AN32" s="243"/>
      <c r="AO32" s="243"/>
      <c r="AP32" s="243"/>
      <c r="AQ32" s="243"/>
      <c r="AR32" s="243"/>
      <c r="AS32" s="243"/>
      <c r="AT32" s="51"/>
      <c r="AU32" s="1" t="str">
        <f>IF(ISNA( VLOOKUP(Y32,SetData!$D$3:$F$14,3,FALSE)),"",VLOOKUP(Y32,SetData!$D$3:$F$14,3,FALSE))</f>
        <v/>
      </c>
      <c r="AV32" s="1" t="str">
        <f>IF(OR(AU32=6,AU32=7,AU32=8,AU32=9),IF(ISNA( VLOOKUP(Y32,SetData!$D$3:$F$14,2,FALSE)),"",VLOOKUP(Y32,SetData!$D$3:$F$14,2,FALSE)),"")</f>
        <v/>
      </c>
      <c r="AW32" s="109"/>
      <c r="AX32" s="1" t="str">
        <f>IF(ISNA( VLOOKUP(AC32,SetData!$D$3:$F$14,3,FALSE)),"",VLOOKUP(AC32,SetData!$D$3:$F$14,3,FALSE))</f>
        <v/>
      </c>
      <c r="AY32" s="1" t="str">
        <f>IF(OR(AX32=6,AX32=7,AX32=8,AX32=9),IF(ISNA( VLOOKUP(AC32,SetData!$D$3:$F$14,2,FALSE)),"",VLOOKUP(AC32,SetData!$D$3:$F$14,2,FALSE)),"")</f>
        <v/>
      </c>
      <c r="AZ32" s="4"/>
      <c r="BA32" s="10"/>
      <c r="BB32" s="10"/>
      <c r="BC32" s="10"/>
      <c r="BD32" s="10"/>
      <c r="BE32" s="10"/>
      <c r="BF32" s="10"/>
      <c r="BG32" s="121"/>
      <c r="BH32" s="121"/>
      <c r="BI32" s="121"/>
      <c r="BJ32" s="121"/>
      <c r="BK32" s="121"/>
      <c r="BL32" s="121"/>
      <c r="BM32" s="121"/>
      <c r="BN32" s="122"/>
      <c r="BO32" s="113" t="b">
        <f t="shared" si="1"/>
        <v>0</v>
      </c>
      <c r="BP32" s="113" t="b">
        <f t="shared" si="2"/>
        <v>0</v>
      </c>
      <c r="BQ32" s="114" t="b">
        <f t="shared" si="3"/>
        <v>0</v>
      </c>
      <c r="BR32" s="115" t="b">
        <f t="shared" si="7"/>
        <v>0</v>
      </c>
      <c r="BS32" s="115" t="b">
        <f t="shared" si="8"/>
        <v>0</v>
      </c>
      <c r="BT32" s="115" t="b">
        <f t="shared" si="9"/>
        <v>0</v>
      </c>
      <c r="BU32" s="115" t="b">
        <f t="shared" si="10"/>
        <v>0</v>
      </c>
      <c r="BV32" s="115"/>
      <c r="BW32" s="74" t="b">
        <f t="shared" si="11"/>
        <v>0</v>
      </c>
      <c r="BX32" s="115"/>
      <c r="BY32" s="115"/>
      <c r="BZ32" s="116">
        <f t="shared" si="14"/>
        <v>0</v>
      </c>
      <c r="CA32" s="115"/>
      <c r="CB32" s="117">
        <f t="shared" si="4"/>
        <v>4.1666666666666685E-2</v>
      </c>
      <c r="CC32" s="115"/>
      <c r="CD32" s="115"/>
      <c r="CE32" s="115"/>
      <c r="CF32" s="115"/>
      <c r="CG32" s="115"/>
      <c r="CH32" s="115"/>
      <c r="CI32" s="1"/>
      <c r="CJ32" s="1"/>
      <c r="CK32" s="1"/>
      <c r="CL32" s="1"/>
      <c r="CM32" s="1"/>
      <c r="CN32" s="1"/>
    </row>
    <row r="33" spans="1:119" ht="21" customHeight="1">
      <c r="A33" s="310">
        <f t="shared" si="12"/>
        <v>42725</v>
      </c>
      <c r="B33" s="311"/>
      <c r="C33" s="312"/>
      <c r="D33" s="309">
        <f t="shared" si="0"/>
        <v>4</v>
      </c>
      <c r="E33" s="309"/>
      <c r="F33" s="309"/>
      <c r="G33" s="254" t="s">
        <v>88</v>
      </c>
      <c r="H33" s="255"/>
      <c r="I33" s="255"/>
      <c r="J33" s="256"/>
      <c r="K33" s="282">
        <v>0.375</v>
      </c>
      <c r="L33" s="283"/>
      <c r="M33" s="283"/>
      <c r="N33" s="284"/>
      <c r="O33" s="282">
        <v>0.77083333333333337</v>
      </c>
      <c r="P33" s="283"/>
      <c r="Q33" s="283"/>
      <c r="R33" s="284"/>
      <c r="S33" s="291">
        <f t="shared" si="13"/>
        <v>3.125E-2</v>
      </c>
      <c r="T33" s="292"/>
      <c r="U33" s="293"/>
      <c r="V33" s="257">
        <f>IF(祝日!A54=1,TIME(0,$BD$8 * 60,0),"")</f>
        <v>0.33333333333333331</v>
      </c>
      <c r="W33" s="258"/>
      <c r="X33" s="259"/>
      <c r="Y33" s="234">
        <f>IF(K33="",IF(O33="",IF(V33="","",祝日!J54-S33),祝日!J54-S33),祝日!J54-S33)</f>
        <v>0.36458333333333337</v>
      </c>
      <c r="Z33" s="235"/>
      <c r="AA33" s="235"/>
      <c r="AB33" s="236"/>
      <c r="AC33" s="234">
        <f t="shared" si="5"/>
        <v>3.1250000000000056E-2</v>
      </c>
      <c r="AD33" s="236"/>
      <c r="AE33" s="234">
        <f>IF(OR(BS33,BT33,BU33),"",IF(O33&lt;=SetData!$C$40,0,O33-SetData!$C$40))</f>
        <v>0</v>
      </c>
      <c r="AF33" s="236"/>
      <c r="AG33" s="234" t="str">
        <f t="shared" si="6"/>
        <v/>
      </c>
      <c r="AH33" s="236"/>
      <c r="AI33" s="234" t="str">
        <f>IF(OR(BS33,BT33,BU33),IF(O33&lt;=SetData!$C$40,0,O33-SetData!$C$40),"")</f>
        <v/>
      </c>
      <c r="AJ33" s="236"/>
      <c r="AK33" s="243"/>
      <c r="AL33" s="243"/>
      <c r="AM33" s="243"/>
      <c r="AN33" s="243"/>
      <c r="AO33" s="243"/>
      <c r="AP33" s="243"/>
      <c r="AQ33" s="243"/>
      <c r="AR33" s="243"/>
      <c r="AS33" s="243"/>
      <c r="AT33" s="51"/>
      <c r="AU33" s="1" t="str">
        <f>IF(ISNA( VLOOKUP(Y33,SetData!$D$3:$F$14,3,FALSE)),"",VLOOKUP(Y33,SetData!$D$3:$F$14,3,FALSE))</f>
        <v/>
      </c>
      <c r="AV33" s="1" t="str">
        <f>IF(OR(AU33=6,AU33=7,AU33=8,AU33=9),IF(ISNA( VLOOKUP(Y33,SetData!$D$3:$F$14,2,FALSE)),"",VLOOKUP(Y33,SetData!$D$3:$F$14,2,FALSE)),"")</f>
        <v/>
      </c>
      <c r="AW33" s="109"/>
      <c r="AX33" s="1" t="str">
        <f>IF(ISNA( VLOOKUP(AC33,SetData!$D$3:$F$14,3,FALSE)),"",VLOOKUP(AC33,SetData!$D$3:$F$14,3,FALSE))</f>
        <v/>
      </c>
      <c r="AY33" s="1" t="str">
        <f>IF(OR(AX33=6,AX33=7,AX33=8,AX33=9),IF(ISNA( VLOOKUP(AC33,SetData!$D$3:$F$14,2,FALSE)),"",VLOOKUP(AC33,SetData!$D$3:$F$14,2,FALSE)),"")</f>
        <v/>
      </c>
      <c r="AZ33" s="4"/>
      <c r="BA33" s="10"/>
      <c r="BB33" s="10"/>
      <c r="BC33" s="10"/>
      <c r="BD33" s="10"/>
      <c r="BE33" s="10"/>
      <c r="BF33" s="10"/>
      <c r="BG33" s="121"/>
      <c r="BH33" s="121"/>
      <c r="BI33" s="121"/>
      <c r="BJ33" s="121"/>
      <c r="BK33" s="121"/>
      <c r="BL33" s="121"/>
      <c r="BM33" s="121"/>
      <c r="BN33" s="122"/>
      <c r="BO33" s="113" t="b">
        <f t="shared" si="1"/>
        <v>0</v>
      </c>
      <c r="BP33" s="113" t="b">
        <f t="shared" si="2"/>
        <v>0</v>
      </c>
      <c r="BQ33" s="114" t="b">
        <f t="shared" si="3"/>
        <v>0</v>
      </c>
      <c r="BR33" s="115" t="b">
        <f t="shared" si="7"/>
        <v>0</v>
      </c>
      <c r="BS33" s="115" t="b">
        <f t="shared" si="8"/>
        <v>0</v>
      </c>
      <c r="BT33" s="115" t="b">
        <f t="shared" si="9"/>
        <v>0</v>
      </c>
      <c r="BU33" s="115" t="b">
        <f t="shared" si="10"/>
        <v>0</v>
      </c>
      <c r="BV33" s="115"/>
      <c r="BW33" s="74" t="b">
        <f t="shared" si="11"/>
        <v>0</v>
      </c>
      <c r="BX33" s="115"/>
      <c r="BY33" s="115"/>
      <c r="BZ33" s="116">
        <f t="shared" si="14"/>
        <v>0</v>
      </c>
      <c r="CA33" s="115"/>
      <c r="CB33" s="117" t="str">
        <f t="shared" si="4"/>
        <v/>
      </c>
      <c r="CC33" s="115"/>
      <c r="CD33" s="115"/>
      <c r="CE33" s="115"/>
      <c r="CF33" s="115"/>
      <c r="CG33" s="115"/>
      <c r="CH33" s="115"/>
      <c r="CI33" s="1"/>
      <c r="CJ33" s="1"/>
      <c r="CK33" s="1"/>
      <c r="CL33" s="1"/>
      <c r="CM33" s="1"/>
      <c r="CN33" s="1"/>
    </row>
    <row r="34" spans="1:119" ht="21" customHeight="1">
      <c r="A34" s="310">
        <f t="shared" si="12"/>
        <v>42726</v>
      </c>
      <c r="B34" s="311"/>
      <c r="C34" s="312"/>
      <c r="D34" s="309">
        <f t="shared" si="0"/>
        <v>5</v>
      </c>
      <c r="E34" s="309"/>
      <c r="F34" s="309"/>
      <c r="G34" s="254" t="s">
        <v>88</v>
      </c>
      <c r="H34" s="255"/>
      <c r="I34" s="255"/>
      <c r="J34" s="256"/>
      <c r="K34" s="282">
        <v>0.375</v>
      </c>
      <c r="L34" s="283"/>
      <c r="M34" s="283"/>
      <c r="N34" s="284"/>
      <c r="O34" s="282">
        <v>0.79166666666666663</v>
      </c>
      <c r="P34" s="283"/>
      <c r="Q34" s="283"/>
      <c r="R34" s="284"/>
      <c r="S34" s="291">
        <f t="shared" si="13"/>
        <v>3.125E-2</v>
      </c>
      <c r="T34" s="292"/>
      <c r="U34" s="293"/>
      <c r="V34" s="257">
        <f>IF(祝日!A55=1,TIME(0,$BD$8 * 60,0),"")</f>
        <v>0.33333333333333331</v>
      </c>
      <c r="W34" s="258"/>
      <c r="X34" s="259"/>
      <c r="Y34" s="234">
        <f>IF(K34="",IF(O34="",IF(V34="","",祝日!J55-S34),祝日!J55-S34),祝日!J55-S34)</f>
        <v>0.38541666666666663</v>
      </c>
      <c r="Z34" s="235"/>
      <c r="AA34" s="235"/>
      <c r="AB34" s="236"/>
      <c r="AC34" s="234">
        <f t="shared" si="5"/>
        <v>5.2083333333333315E-2</v>
      </c>
      <c r="AD34" s="236"/>
      <c r="AE34" s="234">
        <f>IF(OR(BS34,BT34,BU34),"",IF(O34&lt;=SetData!$C$40,0,O34-SetData!$C$40))</f>
        <v>0</v>
      </c>
      <c r="AF34" s="236"/>
      <c r="AG34" s="234" t="str">
        <f t="shared" si="6"/>
        <v/>
      </c>
      <c r="AH34" s="236"/>
      <c r="AI34" s="234" t="str">
        <f>IF(OR(BS34,BT34,BU34),IF(O34&lt;=SetData!$C$40,0,O34-SetData!$C$40),"")</f>
        <v/>
      </c>
      <c r="AJ34" s="236"/>
      <c r="AK34" s="243"/>
      <c r="AL34" s="243"/>
      <c r="AM34" s="243"/>
      <c r="AN34" s="243"/>
      <c r="AO34" s="243"/>
      <c r="AP34" s="243"/>
      <c r="AQ34" s="243"/>
      <c r="AR34" s="243"/>
      <c r="AS34" s="243"/>
      <c r="AT34" s="51"/>
      <c r="AU34" s="1" t="str">
        <f>IF(ISNA( VLOOKUP(Y34,SetData!$D$3:$F$14,3,FALSE)),"",VLOOKUP(Y34,SetData!$D$3:$F$14,3,FALSE))</f>
        <v/>
      </c>
      <c r="AV34" s="1" t="str">
        <f>IF(OR(AU34=6,AU34=7,AU34=8,AU34=9),IF(ISNA( VLOOKUP(Y34,SetData!$D$3:$F$14,2,FALSE)),"",VLOOKUP(Y34,SetData!$D$3:$F$14,2,FALSE)),"")</f>
        <v/>
      </c>
      <c r="AW34" s="109"/>
      <c r="AX34" s="1" t="str">
        <f>IF(ISNA( VLOOKUP(AC34,SetData!$D$3:$F$14,3,FALSE)),"",VLOOKUP(AC34,SetData!$D$3:$F$14,3,FALSE))</f>
        <v/>
      </c>
      <c r="AY34" s="1" t="str">
        <f>IF(OR(AX34=6,AX34=7,AX34=8,AX34=9),IF(ISNA( VLOOKUP(AC34,SetData!$D$3:$F$14,2,FALSE)),"",VLOOKUP(AC34,SetData!$D$3:$F$14,2,FALSE)),"")</f>
        <v/>
      </c>
      <c r="AZ34" s="4"/>
      <c r="BA34" s="10"/>
      <c r="BB34" s="10"/>
      <c r="BC34" s="10"/>
      <c r="BD34" s="10"/>
      <c r="BE34" s="10"/>
      <c r="BF34" s="10"/>
      <c r="BG34" s="121"/>
      <c r="BH34" s="121"/>
      <c r="BI34" s="121"/>
      <c r="BJ34" s="121"/>
      <c r="BK34" s="121"/>
      <c r="BL34" s="121"/>
      <c r="BM34" s="121"/>
      <c r="BN34" s="122"/>
      <c r="BO34" s="113" t="b">
        <f t="shared" si="1"/>
        <v>0</v>
      </c>
      <c r="BP34" s="113" t="b">
        <f t="shared" si="2"/>
        <v>0</v>
      </c>
      <c r="BQ34" s="114" t="b">
        <f t="shared" si="3"/>
        <v>0</v>
      </c>
      <c r="BR34" s="115" t="b">
        <f t="shared" si="7"/>
        <v>0</v>
      </c>
      <c r="BS34" s="115" t="b">
        <f t="shared" si="8"/>
        <v>0</v>
      </c>
      <c r="BT34" s="115" t="b">
        <f t="shared" si="9"/>
        <v>0</v>
      </c>
      <c r="BU34" s="115" t="b">
        <f t="shared" si="10"/>
        <v>0</v>
      </c>
      <c r="BV34" s="115"/>
      <c r="BW34" s="74" t="b">
        <f t="shared" si="11"/>
        <v>0</v>
      </c>
      <c r="BX34" s="115"/>
      <c r="BY34" s="115"/>
      <c r="BZ34" s="116">
        <f t="shared" si="14"/>
        <v>0</v>
      </c>
      <c r="CA34" s="115"/>
      <c r="CB34" s="117" t="str">
        <f t="shared" si="4"/>
        <v/>
      </c>
      <c r="CC34" s="115"/>
      <c r="CD34" s="115"/>
      <c r="CE34" s="115"/>
      <c r="CF34" s="115"/>
      <c r="CG34" s="115"/>
      <c r="CH34" s="115"/>
      <c r="CI34" s="1"/>
      <c r="CJ34" s="1"/>
      <c r="CK34" s="1"/>
      <c r="CL34" s="1"/>
      <c r="CM34" s="1"/>
      <c r="CN34" s="1"/>
    </row>
    <row r="35" spans="1:119" ht="21" customHeight="1">
      <c r="A35" s="310">
        <f t="shared" si="12"/>
        <v>42727</v>
      </c>
      <c r="B35" s="311"/>
      <c r="C35" s="312"/>
      <c r="D35" s="309">
        <f t="shared" si="0"/>
        <v>6</v>
      </c>
      <c r="E35" s="309"/>
      <c r="F35" s="309"/>
      <c r="G35" s="254"/>
      <c r="H35" s="255"/>
      <c r="I35" s="255"/>
      <c r="J35" s="256"/>
      <c r="K35" s="282"/>
      <c r="L35" s="283"/>
      <c r="M35" s="283"/>
      <c r="N35" s="284"/>
      <c r="O35" s="282"/>
      <c r="P35" s="283"/>
      <c r="Q35" s="283"/>
      <c r="R35" s="284"/>
      <c r="S35" s="291">
        <f t="shared" si="13"/>
        <v>0</v>
      </c>
      <c r="T35" s="292"/>
      <c r="U35" s="293"/>
      <c r="V35" s="257" t="str">
        <f>IF(祝日!A56=1,TIME(0,$BD$8 * 60,0),"")</f>
        <v/>
      </c>
      <c r="W35" s="258"/>
      <c r="X35" s="259"/>
      <c r="Y35" s="234" t="str">
        <f>IF(K35="",IF(O35="",IF(V35="","",祝日!J56-S35),祝日!J56-S35),祝日!J56-S35)</f>
        <v/>
      </c>
      <c r="Z35" s="235"/>
      <c r="AA35" s="235"/>
      <c r="AB35" s="236"/>
      <c r="AC35" s="234">
        <f t="shared" si="5"/>
        <v>0</v>
      </c>
      <c r="AD35" s="236"/>
      <c r="AE35" s="234">
        <f>IF(OR(BS35,BT35,BU35),"",IF(O35&lt;=SetData!$C$40,0,O35-SetData!$C$40))</f>
        <v>0</v>
      </c>
      <c r="AF35" s="236"/>
      <c r="AG35" s="234" t="str">
        <f t="shared" si="6"/>
        <v/>
      </c>
      <c r="AH35" s="236"/>
      <c r="AI35" s="234" t="str">
        <f>IF(OR(BS35,BT35,BU35),IF(O35&lt;=SetData!$C$40,0,O35-SetData!$C$40),"")</f>
        <v/>
      </c>
      <c r="AJ35" s="236"/>
      <c r="AK35" s="243"/>
      <c r="AL35" s="243"/>
      <c r="AM35" s="243"/>
      <c r="AN35" s="243"/>
      <c r="AO35" s="243"/>
      <c r="AP35" s="243"/>
      <c r="AQ35" s="243"/>
      <c r="AR35" s="243"/>
      <c r="AS35" s="243"/>
      <c r="AT35" s="51"/>
      <c r="AU35" s="1" t="str">
        <f>IF(ISNA( VLOOKUP(Y35,SetData!$D$3:$F$14,3,FALSE)),"",VLOOKUP(Y35,SetData!$D$3:$F$14,3,FALSE))</f>
        <v/>
      </c>
      <c r="AV35" s="1" t="str">
        <f>IF(OR(AU35=6,AU35=7,AU35=8,AU35=9),IF(ISNA( VLOOKUP(Y35,SetData!$D$3:$F$14,2,FALSE)),"",VLOOKUP(Y35,SetData!$D$3:$F$14,2,FALSE)),"")</f>
        <v/>
      </c>
      <c r="AW35" s="109"/>
      <c r="AX35" s="1" t="str">
        <f>IF(ISNA( VLOOKUP(AC35,SetData!$D$3:$F$14,3,FALSE)),"",VLOOKUP(AC35,SetData!$D$3:$F$14,3,FALSE))</f>
        <v/>
      </c>
      <c r="AY35" s="1" t="str">
        <f>IF(OR(AX35=6,AX35=7,AX35=8,AX35=9),IF(ISNA( VLOOKUP(AC35,SetData!$D$3:$F$14,2,FALSE)),"",VLOOKUP(AC35,SetData!$D$3:$F$14,2,FALSE)),"")</f>
        <v/>
      </c>
      <c r="AZ35" s="4"/>
      <c r="BA35" s="10"/>
      <c r="BB35" s="10"/>
      <c r="BC35" s="10"/>
      <c r="BD35" s="10"/>
      <c r="BE35" s="10"/>
      <c r="BF35" s="10"/>
      <c r="BG35" s="121"/>
      <c r="BH35" s="121"/>
      <c r="BI35" s="121"/>
      <c r="BJ35" s="121"/>
      <c r="BK35" s="121"/>
      <c r="BL35" s="121"/>
      <c r="BM35" s="121"/>
      <c r="BN35" s="122"/>
      <c r="BO35" s="113" t="b">
        <f t="shared" si="1"/>
        <v>0</v>
      </c>
      <c r="BP35" s="113" t="b">
        <f t="shared" si="2"/>
        <v>0</v>
      </c>
      <c r="BQ35" s="114" t="b">
        <f t="shared" si="3"/>
        <v>1</v>
      </c>
      <c r="BR35" s="115" t="b">
        <f t="shared" si="7"/>
        <v>1</v>
      </c>
      <c r="BS35" s="115" t="b">
        <f t="shared" si="8"/>
        <v>0</v>
      </c>
      <c r="BT35" s="115" t="b">
        <f t="shared" si="9"/>
        <v>0</v>
      </c>
      <c r="BU35" s="115" t="b">
        <f t="shared" si="10"/>
        <v>0</v>
      </c>
      <c r="BV35" s="115"/>
      <c r="BW35" s="74" t="b">
        <f t="shared" si="11"/>
        <v>0</v>
      </c>
      <c r="BX35" s="115"/>
      <c r="BY35" s="115"/>
      <c r="BZ35" s="116">
        <f t="shared" si="14"/>
        <v>0</v>
      </c>
      <c r="CA35" s="115"/>
      <c r="CB35" s="117" t="str">
        <f t="shared" si="4"/>
        <v/>
      </c>
      <c r="CC35" s="115"/>
      <c r="CD35" s="115"/>
      <c r="CE35" s="115"/>
      <c r="CF35" s="115"/>
      <c r="CG35" s="115"/>
      <c r="CH35" s="115"/>
      <c r="CI35" s="1"/>
      <c r="CJ35" s="1"/>
      <c r="CK35" s="1"/>
      <c r="CL35" s="1"/>
      <c r="CM35" s="1"/>
      <c r="CN35" s="1"/>
    </row>
    <row r="36" spans="1:119" ht="21" customHeight="1">
      <c r="A36" s="310">
        <f t="shared" si="12"/>
        <v>42728</v>
      </c>
      <c r="B36" s="311"/>
      <c r="C36" s="312"/>
      <c r="D36" s="309">
        <f t="shared" si="0"/>
        <v>7</v>
      </c>
      <c r="E36" s="309"/>
      <c r="F36" s="309"/>
      <c r="G36" s="254"/>
      <c r="H36" s="255"/>
      <c r="I36" s="255"/>
      <c r="J36" s="256"/>
      <c r="K36" s="282"/>
      <c r="L36" s="283"/>
      <c r="M36" s="283"/>
      <c r="N36" s="284"/>
      <c r="O36" s="282"/>
      <c r="P36" s="283"/>
      <c r="Q36" s="283"/>
      <c r="R36" s="284"/>
      <c r="S36" s="291">
        <f t="shared" si="13"/>
        <v>0</v>
      </c>
      <c r="T36" s="292"/>
      <c r="U36" s="293"/>
      <c r="V36" s="257" t="str">
        <f>IF(祝日!A57=1,TIME(0,$BD$8 * 60,0),"")</f>
        <v/>
      </c>
      <c r="W36" s="258"/>
      <c r="X36" s="259"/>
      <c r="Y36" s="234" t="str">
        <f>IF(K36="",IF(O36="",IF(V36="","",祝日!J57-S36),祝日!J57-S36),祝日!J57-S36)</f>
        <v/>
      </c>
      <c r="Z36" s="235"/>
      <c r="AA36" s="235"/>
      <c r="AB36" s="236"/>
      <c r="AC36" s="234">
        <f t="shared" si="5"/>
        <v>0</v>
      </c>
      <c r="AD36" s="236"/>
      <c r="AE36" s="234">
        <f>IF(OR(BS36,BT36,BU36),"",IF(O36&lt;=SetData!$C$40,0,O36-SetData!$C$40))</f>
        <v>0</v>
      </c>
      <c r="AF36" s="236"/>
      <c r="AG36" s="234" t="str">
        <f t="shared" si="6"/>
        <v/>
      </c>
      <c r="AH36" s="236"/>
      <c r="AI36" s="234" t="str">
        <f>IF(OR(BS36,BT36,BU36),IF(O36&lt;=SetData!$C$40,0,O36-SetData!$C$40),"")</f>
        <v/>
      </c>
      <c r="AJ36" s="236"/>
      <c r="AK36" s="243"/>
      <c r="AL36" s="243"/>
      <c r="AM36" s="243"/>
      <c r="AN36" s="243"/>
      <c r="AO36" s="243"/>
      <c r="AP36" s="243"/>
      <c r="AQ36" s="243"/>
      <c r="AR36" s="243"/>
      <c r="AS36" s="243"/>
      <c r="AT36" s="51"/>
      <c r="AU36" s="1" t="str">
        <f>IF(ISNA( VLOOKUP(Y36,SetData!$D$3:$F$14,3,FALSE)),"",VLOOKUP(Y36,SetData!$D$3:$F$14,3,FALSE))</f>
        <v/>
      </c>
      <c r="AV36" s="1" t="str">
        <f>IF(OR(AU36=6,AU36=7,AU36=8,AU36=9),IF(ISNA( VLOOKUP(Y36,SetData!$D$3:$F$14,2,FALSE)),"",VLOOKUP(Y36,SetData!$D$3:$F$14,2,FALSE)),"")</f>
        <v/>
      </c>
      <c r="AW36" s="109"/>
      <c r="AX36" s="1" t="str">
        <f>IF(ISNA( VLOOKUP(AC36,SetData!$D$3:$F$14,3,FALSE)),"",VLOOKUP(AC36,SetData!$D$3:$F$14,3,FALSE))</f>
        <v/>
      </c>
      <c r="AY36" s="1" t="str">
        <f>IF(OR(AX36=6,AX36=7,AX36=8,AX36=9),IF(ISNA( VLOOKUP(AC36,SetData!$D$3:$F$14,2,FALSE)),"",VLOOKUP(AC36,SetData!$D$3:$F$14,2,FALSE)),"")</f>
        <v/>
      </c>
      <c r="AZ36" s="4"/>
      <c r="BA36" s="10"/>
      <c r="BB36" s="10"/>
      <c r="BC36" s="10"/>
      <c r="BD36" s="10"/>
      <c r="BE36" s="10"/>
      <c r="BF36" s="10"/>
      <c r="BG36" s="121"/>
      <c r="BH36" s="121"/>
      <c r="BI36" s="121"/>
      <c r="BJ36" s="121"/>
      <c r="BK36" s="121"/>
      <c r="BL36" s="121"/>
      <c r="BM36" s="121"/>
      <c r="BN36" s="122"/>
      <c r="BO36" s="113" t="b">
        <f t="shared" si="1"/>
        <v>1</v>
      </c>
      <c r="BP36" s="113" t="b">
        <f t="shared" si="2"/>
        <v>0</v>
      </c>
      <c r="BQ36" s="114" t="b">
        <f t="shared" si="3"/>
        <v>0</v>
      </c>
      <c r="BR36" s="115" t="b">
        <f t="shared" si="7"/>
        <v>1</v>
      </c>
      <c r="BS36" s="115" t="b">
        <f t="shared" si="8"/>
        <v>0</v>
      </c>
      <c r="BT36" s="115" t="b">
        <f t="shared" si="9"/>
        <v>0</v>
      </c>
      <c r="BU36" s="115" t="b">
        <f t="shared" si="10"/>
        <v>0</v>
      </c>
      <c r="BV36" s="115"/>
      <c r="BW36" s="74" t="b">
        <f t="shared" si="11"/>
        <v>0</v>
      </c>
      <c r="BX36" s="115"/>
      <c r="BY36" s="115"/>
      <c r="BZ36" s="116">
        <f t="shared" si="14"/>
        <v>0</v>
      </c>
      <c r="CA36" s="115"/>
      <c r="CB36" s="117" t="str">
        <f t="shared" si="4"/>
        <v/>
      </c>
      <c r="CC36" s="115"/>
      <c r="CD36" s="115"/>
      <c r="CE36" s="115"/>
      <c r="CF36" s="115"/>
      <c r="CG36" s="115"/>
      <c r="CH36" s="115"/>
      <c r="CI36" s="1"/>
      <c r="CJ36" s="1"/>
      <c r="CK36" s="1"/>
      <c r="CL36" s="1"/>
      <c r="CM36" s="1"/>
      <c r="CN36" s="1"/>
    </row>
    <row r="37" spans="1:119" ht="21" customHeight="1">
      <c r="A37" s="310">
        <f t="shared" si="12"/>
        <v>42729</v>
      </c>
      <c r="B37" s="311"/>
      <c r="C37" s="312"/>
      <c r="D37" s="309">
        <f t="shared" si="0"/>
        <v>1</v>
      </c>
      <c r="E37" s="309"/>
      <c r="F37" s="309"/>
      <c r="G37" s="254"/>
      <c r="H37" s="255"/>
      <c r="I37" s="255"/>
      <c r="J37" s="256"/>
      <c r="K37" s="282"/>
      <c r="L37" s="283"/>
      <c r="M37" s="283"/>
      <c r="N37" s="284"/>
      <c r="O37" s="282"/>
      <c r="P37" s="283"/>
      <c r="Q37" s="283"/>
      <c r="R37" s="284"/>
      <c r="S37" s="291">
        <f t="shared" si="13"/>
        <v>0</v>
      </c>
      <c r="T37" s="292"/>
      <c r="U37" s="293"/>
      <c r="V37" s="257" t="str">
        <f>IF(祝日!A58=1,TIME(0,$BD$8 * 60,0),"")</f>
        <v/>
      </c>
      <c r="W37" s="258"/>
      <c r="X37" s="259"/>
      <c r="Y37" s="234" t="str">
        <f>IF(K37="",IF(O37="",IF(V37="","",祝日!J58-S37),祝日!J58-S37),祝日!J58-S37)</f>
        <v/>
      </c>
      <c r="Z37" s="235"/>
      <c r="AA37" s="235"/>
      <c r="AB37" s="236"/>
      <c r="AC37" s="234">
        <f t="shared" si="5"/>
        <v>0</v>
      </c>
      <c r="AD37" s="236"/>
      <c r="AE37" s="234">
        <f>IF(OR(BS37,BT37,BU37),"",IF(O37&lt;=SetData!$C$40,0,O37-SetData!$C$40))</f>
        <v>0</v>
      </c>
      <c r="AF37" s="236"/>
      <c r="AG37" s="234" t="str">
        <f t="shared" si="6"/>
        <v/>
      </c>
      <c r="AH37" s="236"/>
      <c r="AI37" s="234" t="str">
        <f>IF(OR(BS37,BT37,BU37),IF(O37&lt;=SetData!$C$40,0,O37-SetData!$C$40),"")</f>
        <v/>
      </c>
      <c r="AJ37" s="236"/>
      <c r="AK37" s="243"/>
      <c r="AL37" s="243"/>
      <c r="AM37" s="243"/>
      <c r="AN37" s="243"/>
      <c r="AO37" s="243"/>
      <c r="AP37" s="243"/>
      <c r="AQ37" s="243"/>
      <c r="AR37" s="243"/>
      <c r="AS37" s="243"/>
      <c r="AT37" s="51"/>
      <c r="AU37" s="1" t="str">
        <f>IF(ISNA( VLOOKUP(Y37,SetData!$D$3:$F$14,3,FALSE)),"",VLOOKUP(Y37,SetData!$D$3:$F$14,3,FALSE))</f>
        <v/>
      </c>
      <c r="AV37" s="1" t="str">
        <f>IF(OR(AU37=6,AU37=7,AU37=8,AU37=9),IF(ISNA( VLOOKUP(Y37,SetData!$D$3:$F$14,2,FALSE)),"",VLOOKUP(Y37,SetData!$D$3:$F$14,2,FALSE)),"")</f>
        <v/>
      </c>
      <c r="AW37" s="109"/>
      <c r="AX37" s="1" t="str">
        <f>IF(ISNA( VLOOKUP(AC37,SetData!$D$3:$F$14,3,FALSE)),"",VLOOKUP(AC37,SetData!$D$3:$F$14,3,FALSE))</f>
        <v/>
      </c>
      <c r="AY37" s="1" t="str">
        <f>IF(OR(AX37=6,AX37=7,AX37=8,AX37=9),IF(ISNA( VLOOKUP(AC37,SetData!$D$3:$F$14,2,FALSE)),"",VLOOKUP(AC37,SetData!$D$3:$F$14,2,FALSE)),"")</f>
        <v/>
      </c>
      <c r="AZ37" s="4"/>
      <c r="BA37" s="4"/>
      <c r="BB37" s="4"/>
      <c r="BC37" s="4"/>
      <c r="BD37" s="58"/>
      <c r="BE37" s="58"/>
      <c r="BF37" s="58"/>
      <c r="BG37" s="58"/>
      <c r="BH37" s="58"/>
      <c r="BI37" s="58"/>
      <c r="BJ37" s="111"/>
      <c r="BK37" s="111"/>
      <c r="BL37" s="111"/>
      <c r="BM37" s="4"/>
      <c r="BN37" s="112"/>
      <c r="BO37" s="113" t="b">
        <f t="shared" si="1"/>
        <v>0</v>
      </c>
      <c r="BP37" s="113" t="b">
        <f t="shared" si="2"/>
        <v>1</v>
      </c>
      <c r="BQ37" s="114" t="b">
        <f t="shared" si="3"/>
        <v>0</v>
      </c>
      <c r="BR37" s="115" t="b">
        <f t="shared" si="7"/>
        <v>0</v>
      </c>
      <c r="BS37" s="115" t="b">
        <f t="shared" si="8"/>
        <v>0</v>
      </c>
      <c r="BT37" s="115" t="b">
        <f t="shared" si="9"/>
        <v>0</v>
      </c>
      <c r="BU37" s="115" t="b">
        <f t="shared" si="10"/>
        <v>0</v>
      </c>
      <c r="BV37" s="115"/>
      <c r="BW37" s="74" t="b">
        <f t="shared" si="11"/>
        <v>0</v>
      </c>
      <c r="BX37" s="115"/>
      <c r="BY37" s="115"/>
      <c r="BZ37" s="116">
        <f t="shared" si="14"/>
        <v>0</v>
      </c>
      <c r="CA37" s="115"/>
      <c r="CB37" s="117" t="str">
        <f t="shared" si="4"/>
        <v/>
      </c>
      <c r="CC37" s="115"/>
      <c r="CD37" s="115"/>
      <c r="CE37" s="115"/>
      <c r="CF37" s="115"/>
      <c r="CG37" s="115"/>
      <c r="CH37" s="115"/>
      <c r="CI37" s="1"/>
      <c r="CJ37" s="1"/>
      <c r="CK37" s="1"/>
      <c r="CL37" s="1"/>
      <c r="CM37" s="1"/>
      <c r="CN37" s="1"/>
    </row>
    <row r="38" spans="1:119" ht="21" customHeight="1">
      <c r="A38" s="310">
        <f t="shared" si="12"/>
        <v>42730</v>
      </c>
      <c r="B38" s="311"/>
      <c r="C38" s="312"/>
      <c r="D38" s="309">
        <f t="shared" si="0"/>
        <v>2</v>
      </c>
      <c r="E38" s="309"/>
      <c r="F38" s="309"/>
      <c r="G38" s="254" t="s">
        <v>88</v>
      </c>
      <c r="H38" s="255"/>
      <c r="I38" s="255"/>
      <c r="J38" s="256"/>
      <c r="K38" s="282">
        <v>0.375</v>
      </c>
      <c r="L38" s="283"/>
      <c r="M38" s="283"/>
      <c r="N38" s="284"/>
      <c r="O38" s="282">
        <v>0.77083333333333337</v>
      </c>
      <c r="P38" s="283"/>
      <c r="Q38" s="283"/>
      <c r="R38" s="284"/>
      <c r="S38" s="291">
        <f t="shared" si="13"/>
        <v>3.125E-2</v>
      </c>
      <c r="T38" s="292"/>
      <c r="U38" s="293"/>
      <c r="V38" s="257">
        <f>IF(祝日!A59=1,TIME(0,$BD$8 * 60,0),"")</f>
        <v>0.33333333333333331</v>
      </c>
      <c r="W38" s="258"/>
      <c r="X38" s="259"/>
      <c r="Y38" s="234">
        <f>IF(K38="",IF(O38="",IF(V38="","",祝日!J59-S38),祝日!J59-S38),祝日!J59-S38)</f>
        <v>0.36458333333333337</v>
      </c>
      <c r="Z38" s="235"/>
      <c r="AA38" s="235"/>
      <c r="AB38" s="236"/>
      <c r="AC38" s="234">
        <f t="shared" si="5"/>
        <v>3.1250000000000056E-2</v>
      </c>
      <c r="AD38" s="236"/>
      <c r="AE38" s="234">
        <f>IF(OR(BS38,BT38,BU38),"",IF(O38&lt;=SetData!$C$40,0,O38-SetData!$C$40))</f>
        <v>0</v>
      </c>
      <c r="AF38" s="236"/>
      <c r="AG38" s="234" t="str">
        <f t="shared" si="6"/>
        <v/>
      </c>
      <c r="AH38" s="236"/>
      <c r="AI38" s="234" t="str">
        <f>IF(OR(BS38,BT38,BU38),IF(O38&lt;=SetData!$C$40,0,O38-SetData!$C$40),"")</f>
        <v/>
      </c>
      <c r="AJ38" s="236"/>
      <c r="AK38" s="243"/>
      <c r="AL38" s="243"/>
      <c r="AM38" s="243"/>
      <c r="AN38" s="243"/>
      <c r="AO38" s="243"/>
      <c r="AP38" s="243"/>
      <c r="AQ38" s="243"/>
      <c r="AR38" s="243"/>
      <c r="AS38" s="243"/>
      <c r="AT38" s="51"/>
      <c r="AU38" s="1" t="str">
        <f>IF(ISNA( VLOOKUP(Y38,SetData!$D$3:$F$14,3,FALSE)),"",VLOOKUP(Y38,SetData!$D$3:$F$14,3,FALSE))</f>
        <v/>
      </c>
      <c r="AV38" s="1" t="str">
        <f>IF(OR(AU38=6,AU38=7,AU38=8,AU38=9),IF(ISNA( VLOOKUP(Y38,SetData!$D$3:$F$14,2,FALSE)),"",VLOOKUP(Y38,SetData!$D$3:$F$14,2,FALSE)),"")</f>
        <v/>
      </c>
      <c r="AW38" s="109"/>
      <c r="AX38" s="1" t="str">
        <f>IF(ISNA( VLOOKUP(AC38,SetData!$D$3:$F$14,3,FALSE)),"",VLOOKUP(AC38,SetData!$D$3:$F$14,3,FALSE))</f>
        <v/>
      </c>
      <c r="AY38" s="1" t="str">
        <f>IF(OR(AX38=6,AX38=7,AX38=8,AX38=9),IF(ISNA( VLOOKUP(AC38,SetData!$D$3:$F$14,2,FALSE)),"",VLOOKUP(AC38,SetData!$D$3:$F$14,2,FALSE)),"")</f>
        <v/>
      </c>
      <c r="BD38" s="58"/>
      <c r="BE38" s="58"/>
      <c r="BF38" s="58"/>
      <c r="BG38" s="58"/>
      <c r="BH38" s="58"/>
      <c r="BI38" s="58"/>
      <c r="BJ38" s="109"/>
      <c r="BK38" s="109"/>
      <c r="BL38" s="109"/>
      <c r="BN38" s="115"/>
      <c r="BO38" s="113" t="b">
        <f t="shared" si="1"/>
        <v>0</v>
      </c>
      <c r="BP38" s="113" t="b">
        <f t="shared" si="2"/>
        <v>0</v>
      </c>
      <c r="BQ38" s="114" t="b">
        <f t="shared" si="3"/>
        <v>0</v>
      </c>
      <c r="BR38" s="115" t="b">
        <f t="shared" si="7"/>
        <v>0</v>
      </c>
      <c r="BS38" s="115" t="b">
        <f t="shared" si="8"/>
        <v>0</v>
      </c>
      <c r="BT38" s="115" t="b">
        <f t="shared" si="9"/>
        <v>0</v>
      </c>
      <c r="BU38" s="115" t="b">
        <f t="shared" si="10"/>
        <v>0</v>
      </c>
      <c r="BV38" s="115"/>
      <c r="BW38" s="74" t="b">
        <f t="shared" si="11"/>
        <v>0</v>
      </c>
      <c r="BX38" s="115"/>
      <c r="BY38" s="115"/>
      <c r="BZ38" s="116">
        <f t="shared" si="14"/>
        <v>0</v>
      </c>
      <c r="CA38" s="115"/>
      <c r="CB38" s="117" t="str">
        <f t="shared" si="4"/>
        <v/>
      </c>
      <c r="CC38" s="115"/>
      <c r="CD38" s="115"/>
      <c r="CE38" s="115"/>
      <c r="CF38" s="115"/>
      <c r="CG38" s="115"/>
      <c r="CH38" s="115"/>
      <c r="CI38" s="1"/>
      <c r="CJ38" s="1"/>
      <c r="CK38" s="1"/>
      <c r="CL38" s="1"/>
      <c r="CM38" s="1"/>
      <c r="CN38" s="1"/>
    </row>
    <row r="39" spans="1:119" ht="21" customHeight="1">
      <c r="A39" s="310">
        <f t="shared" si="12"/>
        <v>42731</v>
      </c>
      <c r="B39" s="311"/>
      <c r="C39" s="312"/>
      <c r="D39" s="309">
        <f t="shared" si="0"/>
        <v>3</v>
      </c>
      <c r="E39" s="309"/>
      <c r="F39" s="309"/>
      <c r="G39" s="254" t="s">
        <v>88</v>
      </c>
      <c r="H39" s="255"/>
      <c r="I39" s="255"/>
      <c r="J39" s="256"/>
      <c r="K39" s="282">
        <v>0.375</v>
      </c>
      <c r="L39" s="283"/>
      <c r="M39" s="283"/>
      <c r="N39" s="284"/>
      <c r="O39" s="282">
        <v>0.85416666666666663</v>
      </c>
      <c r="P39" s="283"/>
      <c r="Q39" s="283"/>
      <c r="R39" s="284"/>
      <c r="S39" s="291">
        <f t="shared" si="13"/>
        <v>3.125E-2</v>
      </c>
      <c r="T39" s="292"/>
      <c r="U39" s="293"/>
      <c r="V39" s="257">
        <f>IF(祝日!A60=1,TIME(0,$BD$8 * 60,0),"")</f>
        <v>0.33333333333333331</v>
      </c>
      <c r="W39" s="258"/>
      <c r="X39" s="259"/>
      <c r="Y39" s="234">
        <f>IF(K39="",IF(O39="",IF(V39="","",祝日!J60-S39),祝日!J60-S39),祝日!J60-S39)</f>
        <v>0.44791666666666663</v>
      </c>
      <c r="Z39" s="235"/>
      <c r="AA39" s="235"/>
      <c r="AB39" s="236"/>
      <c r="AC39" s="234">
        <f t="shared" si="5"/>
        <v>0.11458333333333331</v>
      </c>
      <c r="AD39" s="236"/>
      <c r="AE39" s="234">
        <f>IF(OR(BS39,BT39,BU39),"",IF(O39&lt;=SetData!$C$40,0,O39-SetData!$C$40))</f>
        <v>0</v>
      </c>
      <c r="AF39" s="236"/>
      <c r="AG39" s="234" t="str">
        <f t="shared" si="6"/>
        <v/>
      </c>
      <c r="AH39" s="236"/>
      <c r="AI39" s="234" t="str">
        <f>IF(OR(BS39,BT39,BU39),IF(O39&lt;=SetData!$C$40,0,O39-SetData!$C$40),"")</f>
        <v/>
      </c>
      <c r="AJ39" s="236"/>
      <c r="AK39" s="243"/>
      <c r="AL39" s="243"/>
      <c r="AM39" s="243"/>
      <c r="AN39" s="243"/>
      <c r="AO39" s="243"/>
      <c r="AP39" s="243"/>
      <c r="AQ39" s="243"/>
      <c r="AR39" s="243"/>
      <c r="AS39" s="243"/>
      <c r="AT39" s="51"/>
      <c r="AU39" s="1" t="str">
        <f>IF(ISNA( VLOOKUP(Y39,SetData!$D$3:$F$14,3,FALSE)),"",VLOOKUP(Y39,SetData!$D$3:$F$14,3,FALSE))</f>
        <v/>
      </c>
      <c r="AV39" s="1" t="str">
        <f>IF(OR(AU39=6,AU39=7,AU39=8,AU39=9),IF(ISNA( VLOOKUP(Y39,SetData!$D$3:$F$14,2,FALSE)),"",VLOOKUP(Y39,SetData!$D$3:$F$14,2,FALSE)),"")</f>
        <v/>
      </c>
      <c r="AW39" s="109"/>
      <c r="AX39" s="1" t="str">
        <f>IF(ISNA( VLOOKUP(AC39,SetData!$D$3:$F$14,3,FALSE)),"",VLOOKUP(AC39,SetData!$D$3:$F$14,3,FALSE))</f>
        <v/>
      </c>
      <c r="AY39" s="1" t="str">
        <f>IF(OR(AX39=6,AX39=7,AX39=8,AX39=9),IF(ISNA( VLOOKUP(AC39,SetData!$D$3:$F$14,2,FALSE)),"",VLOOKUP(AC39,SetData!$D$3:$F$14,2,FALSE)),"")</f>
        <v/>
      </c>
      <c r="BD39" s="58"/>
      <c r="BE39" s="58"/>
      <c r="BF39" s="58"/>
      <c r="BG39" s="58"/>
      <c r="BH39" s="58"/>
      <c r="BI39" s="58"/>
      <c r="BJ39" s="109"/>
      <c r="BK39" s="109"/>
      <c r="BL39" s="109"/>
      <c r="BN39" s="115"/>
      <c r="BO39" s="113" t="b">
        <f t="shared" si="1"/>
        <v>0</v>
      </c>
      <c r="BP39" s="113" t="b">
        <f t="shared" si="2"/>
        <v>0</v>
      </c>
      <c r="BQ39" s="114" t="b">
        <f t="shared" si="3"/>
        <v>0</v>
      </c>
      <c r="BR39" s="115" t="b">
        <f t="shared" si="7"/>
        <v>0</v>
      </c>
      <c r="BS39" s="115" t="b">
        <f t="shared" si="8"/>
        <v>0</v>
      </c>
      <c r="BT39" s="115" t="b">
        <f t="shared" si="9"/>
        <v>0</v>
      </c>
      <c r="BU39" s="115" t="b">
        <f t="shared" si="10"/>
        <v>0</v>
      </c>
      <c r="BV39" s="115"/>
      <c r="BW39" s="74" t="b">
        <f t="shared" si="11"/>
        <v>0</v>
      </c>
      <c r="BX39" s="115"/>
      <c r="BY39" s="115"/>
      <c r="BZ39" s="116">
        <f t="shared" si="14"/>
        <v>0</v>
      </c>
      <c r="CA39" s="115"/>
      <c r="CB39" s="117" t="str">
        <f t="shared" si="4"/>
        <v/>
      </c>
      <c r="CC39" s="115"/>
      <c r="CD39" s="115"/>
      <c r="CE39" s="115"/>
      <c r="CF39" s="115"/>
      <c r="CG39" s="115"/>
      <c r="CH39" s="115"/>
      <c r="CI39" s="1"/>
      <c r="CJ39" s="1"/>
      <c r="CK39" s="1"/>
      <c r="CL39" s="1"/>
      <c r="CM39" s="1"/>
      <c r="CN39" s="1"/>
    </row>
    <row r="40" spans="1:119" ht="21" customHeight="1">
      <c r="A40" s="310">
        <f t="shared" si="12"/>
        <v>42732</v>
      </c>
      <c r="B40" s="311"/>
      <c r="C40" s="312"/>
      <c r="D40" s="309">
        <f t="shared" si="0"/>
        <v>4</v>
      </c>
      <c r="E40" s="309"/>
      <c r="F40" s="309"/>
      <c r="G40" s="254" t="s">
        <v>189</v>
      </c>
      <c r="H40" s="255"/>
      <c r="I40" s="255"/>
      <c r="J40" s="256"/>
      <c r="K40" s="282">
        <v>0.39583333333333331</v>
      </c>
      <c r="L40" s="283"/>
      <c r="M40" s="283"/>
      <c r="N40" s="284"/>
      <c r="O40" s="282">
        <v>0.79166666666666663</v>
      </c>
      <c r="P40" s="283"/>
      <c r="Q40" s="283"/>
      <c r="R40" s="284"/>
      <c r="S40" s="291">
        <f t="shared" si="13"/>
        <v>3.125E-2</v>
      </c>
      <c r="T40" s="292"/>
      <c r="U40" s="293"/>
      <c r="V40" s="257">
        <f>IF(祝日!A61=1,TIME(0,$BD$8 * 60,0),"")</f>
        <v>0.33333333333333331</v>
      </c>
      <c r="W40" s="258"/>
      <c r="X40" s="259"/>
      <c r="Y40" s="234">
        <f>IF(K40="",IF(O40="",IF(V40="","",祝日!J61-S40),祝日!J61-S40),祝日!J61-S40)</f>
        <v>0.36458333333333331</v>
      </c>
      <c r="Z40" s="235"/>
      <c r="AA40" s="235"/>
      <c r="AB40" s="236"/>
      <c r="AC40" s="234">
        <f t="shared" si="5"/>
        <v>3.125E-2</v>
      </c>
      <c r="AD40" s="236"/>
      <c r="AE40" s="234">
        <f>IF(OR(BS40,BT40,BU40),"",IF(O40&lt;=SetData!$C$40,0,O40-SetData!$C$40))</f>
        <v>0</v>
      </c>
      <c r="AF40" s="236"/>
      <c r="AG40" s="234" t="str">
        <f t="shared" si="6"/>
        <v/>
      </c>
      <c r="AH40" s="236"/>
      <c r="AI40" s="234" t="str">
        <f>IF(OR(BS40,BT40,BU40),IF(O40&lt;=SetData!$C$40,0,O40-SetData!$C$40),"")</f>
        <v/>
      </c>
      <c r="AJ40" s="236"/>
      <c r="AK40" s="243"/>
      <c r="AL40" s="243"/>
      <c r="AM40" s="243"/>
      <c r="AN40" s="243"/>
      <c r="AO40" s="243"/>
      <c r="AP40" s="243"/>
      <c r="AQ40" s="243"/>
      <c r="AR40" s="243"/>
      <c r="AS40" s="243"/>
      <c r="AT40" s="51"/>
      <c r="AU40" s="1" t="str">
        <f>IF(ISNA( VLOOKUP(Y40,SetData!$D$3:$F$14,3,FALSE)),"",VLOOKUP(Y40,SetData!$D$3:$F$14,3,FALSE))</f>
        <v/>
      </c>
      <c r="AV40" s="1" t="str">
        <f>IF(OR(AU40=6,AU40=7,AU40=8,AU40=9),IF(ISNA( VLOOKUP(Y40,SetData!$D$3:$F$14,2,FALSE)),"",VLOOKUP(Y40,SetData!$D$3:$F$14,2,FALSE)),"")</f>
        <v/>
      </c>
      <c r="AW40" s="109"/>
      <c r="AX40" s="1" t="str">
        <f>IF(ISNA( VLOOKUP(AC40,SetData!$D$3:$F$14,3,FALSE)),"",VLOOKUP(AC40,SetData!$D$3:$F$14,3,FALSE))</f>
        <v/>
      </c>
      <c r="AY40" s="1" t="str">
        <f>IF(OR(AX40=6,AX40=7,AX40=8,AX40=9),IF(ISNA( VLOOKUP(AC40,SetData!$D$3:$F$14,2,FALSE)),"",VLOOKUP(AC40,SetData!$D$3:$F$14,2,FALSE)),"")</f>
        <v/>
      </c>
      <c r="BD40" s="58"/>
      <c r="BE40" s="58"/>
      <c r="BF40" s="58"/>
      <c r="BG40" s="58"/>
      <c r="BH40" s="58"/>
      <c r="BI40" s="58"/>
      <c r="BJ40" s="109"/>
      <c r="BK40" s="109"/>
      <c r="BL40" s="109"/>
      <c r="BN40" s="115"/>
      <c r="BO40" s="113" t="b">
        <f t="shared" si="1"/>
        <v>0</v>
      </c>
      <c r="BP40" s="113" t="b">
        <f t="shared" si="2"/>
        <v>0</v>
      </c>
      <c r="BQ40" s="114" t="b">
        <f t="shared" si="3"/>
        <v>0</v>
      </c>
      <c r="BR40" s="115" t="b">
        <f t="shared" si="7"/>
        <v>0</v>
      </c>
      <c r="BS40" s="115" t="b">
        <f t="shared" si="8"/>
        <v>0</v>
      </c>
      <c r="BT40" s="115" t="b">
        <f t="shared" si="9"/>
        <v>0</v>
      </c>
      <c r="BU40" s="115" t="b">
        <f t="shared" si="10"/>
        <v>0</v>
      </c>
      <c r="BV40" s="115"/>
      <c r="BW40" s="74" t="b">
        <f t="shared" si="11"/>
        <v>0</v>
      </c>
      <c r="BX40" s="115"/>
      <c r="BY40" s="115"/>
      <c r="BZ40" s="116">
        <f t="shared" si="14"/>
        <v>0</v>
      </c>
      <c r="CA40" s="115"/>
      <c r="CB40" s="117">
        <f t="shared" si="4"/>
        <v>2.0833333333333315E-2</v>
      </c>
      <c r="CC40" s="115"/>
      <c r="CD40" s="115"/>
      <c r="CE40" s="115"/>
      <c r="CF40" s="115"/>
      <c r="CG40" s="115"/>
      <c r="CH40" s="115"/>
      <c r="CI40" s="1"/>
      <c r="CJ40" s="1"/>
      <c r="CK40" s="1"/>
      <c r="CL40" s="1"/>
      <c r="CM40" s="1"/>
      <c r="CN40" s="1"/>
    </row>
    <row r="41" spans="1:119" ht="21" customHeight="1">
      <c r="A41" s="310">
        <f t="shared" si="12"/>
        <v>42733</v>
      </c>
      <c r="B41" s="311"/>
      <c r="C41" s="312"/>
      <c r="D41" s="309">
        <f>IF(A41="","",WEEKDAY(A41))</f>
        <v>5</v>
      </c>
      <c r="E41" s="309"/>
      <c r="F41" s="309"/>
      <c r="G41" s="254" t="s">
        <v>189</v>
      </c>
      <c r="H41" s="255"/>
      <c r="I41" s="255"/>
      <c r="J41" s="256"/>
      <c r="K41" s="282">
        <v>0.38541666666666669</v>
      </c>
      <c r="L41" s="283"/>
      <c r="M41" s="283"/>
      <c r="N41" s="284"/>
      <c r="O41" s="282">
        <v>0.625</v>
      </c>
      <c r="P41" s="283"/>
      <c r="Q41" s="283"/>
      <c r="R41" s="284"/>
      <c r="S41" s="291">
        <f t="shared" si="13"/>
        <v>3.125E-2</v>
      </c>
      <c r="T41" s="292"/>
      <c r="U41" s="293"/>
      <c r="V41" s="257">
        <f>IF(祝日!A62=1,TIME(0,$BD$8 * 60,0),"")</f>
        <v>0.33333333333333331</v>
      </c>
      <c r="W41" s="258"/>
      <c r="X41" s="259"/>
      <c r="Y41" s="234">
        <f>IF(K41="",IF(O41="",IF(V41="","",祝日!J62-S41),祝日!J62-S41),祝日!J62-S41)</f>
        <v>0.2048611111111111</v>
      </c>
      <c r="Z41" s="235"/>
      <c r="AA41" s="235"/>
      <c r="AB41" s="236"/>
      <c r="AC41" s="234">
        <f t="shared" si="5"/>
        <v>0</v>
      </c>
      <c r="AD41" s="236"/>
      <c r="AE41" s="234">
        <f>IF(OR(BS41,BT41,BU41),"",IF(O41&lt;=SetData!$C$40,0,O41-SetData!$C$40))</f>
        <v>0</v>
      </c>
      <c r="AF41" s="236"/>
      <c r="AG41" s="234" t="str">
        <f t="shared" si="6"/>
        <v/>
      </c>
      <c r="AH41" s="236"/>
      <c r="AI41" s="234" t="str">
        <f>IF(OR(BS41,BT41,BU41),IF(O41&lt;=SetData!$C$40,0,O41-SetData!$C$40),"")</f>
        <v/>
      </c>
      <c r="AJ41" s="236"/>
      <c r="AK41" s="243"/>
      <c r="AL41" s="243"/>
      <c r="AM41" s="243"/>
      <c r="AN41" s="243"/>
      <c r="AO41" s="243"/>
      <c r="AP41" s="243"/>
      <c r="AQ41" s="243"/>
      <c r="AR41" s="243"/>
      <c r="AS41" s="243"/>
      <c r="AT41" s="51"/>
      <c r="AU41" s="1" t="str">
        <f>IF(ISNA( VLOOKUP(Y41,SetData!$D$3:$F$14,3,FALSE)),"",VLOOKUP(Y41,SetData!$D$3:$F$14,3,FALSE))</f>
        <v/>
      </c>
      <c r="AV41" s="1" t="str">
        <f>IF(OR(AU41=6,AU41=7,AU41=8,AU41=9),IF(ISNA( VLOOKUP(Y41,SetData!$D$3:$F$14,2,FALSE)),"",VLOOKUP(Y41,SetData!$D$3:$F$14,2,FALSE)),"")</f>
        <v/>
      </c>
      <c r="AW41" s="109"/>
      <c r="AX41" s="1" t="str">
        <f>IF(ISNA( VLOOKUP(AC41,SetData!$D$3:$F$14,3,FALSE)),"",VLOOKUP(AC41,SetData!$D$3:$F$14,3,FALSE))</f>
        <v/>
      </c>
      <c r="AY41" s="1" t="str">
        <f>IF(OR(AX41=6,AX41=7,AX41=8,AX41=9),IF(ISNA( VLOOKUP(AC41,SetData!$D$3:$F$14,2,FALSE)),"",VLOOKUP(AC41,SetData!$D$3:$F$14,2,FALSE)),"")</f>
        <v/>
      </c>
      <c r="BD41" s="58"/>
      <c r="BE41" s="58"/>
      <c r="BF41" s="58"/>
      <c r="BG41" s="58"/>
      <c r="BH41" s="58"/>
      <c r="BI41" s="58"/>
      <c r="BJ41" s="109"/>
      <c r="BK41" s="109"/>
      <c r="BL41" s="109"/>
      <c r="BN41" s="115"/>
      <c r="BO41" s="113" t="b">
        <f t="shared" si="1"/>
        <v>0</v>
      </c>
      <c r="BP41" s="113" t="b">
        <f t="shared" si="2"/>
        <v>0</v>
      </c>
      <c r="BQ41" s="114" t="b">
        <f t="shared" si="3"/>
        <v>0</v>
      </c>
      <c r="BR41" s="115" t="b">
        <f t="shared" si="7"/>
        <v>0</v>
      </c>
      <c r="BS41" s="115" t="b">
        <f t="shared" si="8"/>
        <v>0</v>
      </c>
      <c r="BT41" s="115" t="b">
        <f t="shared" si="9"/>
        <v>0</v>
      </c>
      <c r="BU41" s="115" t="b">
        <f t="shared" si="10"/>
        <v>0</v>
      </c>
      <c r="BV41" s="115"/>
      <c r="BW41" s="74" t="b">
        <f t="shared" si="11"/>
        <v>0</v>
      </c>
      <c r="BX41" s="115"/>
      <c r="BY41" s="115"/>
      <c r="BZ41" s="116">
        <f t="shared" si="14"/>
        <v>0</v>
      </c>
      <c r="CA41" s="115"/>
      <c r="CB41" s="117">
        <f t="shared" si="4"/>
        <v>1.0416666666666685E-2</v>
      </c>
      <c r="CC41" s="115"/>
      <c r="CD41" s="115"/>
      <c r="CE41" s="115"/>
      <c r="CF41" s="115"/>
      <c r="CG41" s="115"/>
      <c r="CH41" s="115"/>
      <c r="CI41" s="1"/>
      <c r="CJ41" s="1"/>
      <c r="CK41" s="1"/>
      <c r="CL41" s="1"/>
      <c r="CM41" s="1"/>
      <c r="CN41" s="1"/>
    </row>
    <row r="42" spans="1:119" ht="21" customHeight="1">
      <c r="A42" s="310">
        <f t="shared" si="12"/>
        <v>42734</v>
      </c>
      <c r="B42" s="311"/>
      <c r="C42" s="312"/>
      <c r="D42" s="309">
        <f>IF(A42="","",WEEKDAY(A42))</f>
        <v>6</v>
      </c>
      <c r="E42" s="309"/>
      <c r="F42" s="309"/>
      <c r="G42" s="254"/>
      <c r="H42" s="255"/>
      <c r="I42" s="255"/>
      <c r="J42" s="256"/>
      <c r="K42" s="282"/>
      <c r="L42" s="283"/>
      <c r="M42" s="283"/>
      <c r="N42" s="284"/>
      <c r="O42" s="282"/>
      <c r="P42" s="283"/>
      <c r="Q42" s="283"/>
      <c r="R42" s="284"/>
      <c r="S42" s="291">
        <f t="shared" si="13"/>
        <v>0</v>
      </c>
      <c r="T42" s="292"/>
      <c r="U42" s="293"/>
      <c r="V42" s="257">
        <f>IF(祝日!A63=1,TIME(0,$BD$8 * 60,0),"")</f>
        <v>0.33333333333333331</v>
      </c>
      <c r="W42" s="258"/>
      <c r="X42" s="259"/>
      <c r="Y42" s="234">
        <f>IF(K42="",IF(O42="",IF(V42="","",祝日!J63-S42),祝日!J63-S42),祝日!J63-S42)</f>
        <v>0</v>
      </c>
      <c r="Z42" s="235"/>
      <c r="AA42" s="235"/>
      <c r="AB42" s="236"/>
      <c r="AC42" s="234">
        <f t="shared" si="5"/>
        <v>0</v>
      </c>
      <c r="AD42" s="236"/>
      <c r="AE42" s="234">
        <f>IF(OR(BS42,BT42,BU42),"",IF(O42&lt;=SetData!$C$40,0,O42-SetData!$C$40))</f>
        <v>0</v>
      </c>
      <c r="AF42" s="236"/>
      <c r="AG42" s="234" t="str">
        <f t="shared" si="6"/>
        <v/>
      </c>
      <c r="AH42" s="236"/>
      <c r="AI42" s="234" t="str">
        <f>IF(OR(BS42,BT42,BU42),IF(O42&lt;=SetData!$C$40,0,O42-SetData!$C$40),"")</f>
        <v/>
      </c>
      <c r="AJ42" s="236"/>
      <c r="AK42" s="243" t="s">
        <v>187</v>
      </c>
      <c r="AL42" s="243"/>
      <c r="AM42" s="243"/>
      <c r="AN42" s="243"/>
      <c r="AO42" s="243"/>
      <c r="AP42" s="243"/>
      <c r="AQ42" s="243"/>
      <c r="AR42" s="243"/>
      <c r="AS42" s="243"/>
      <c r="AT42" s="51"/>
      <c r="AU42" s="1" t="str">
        <f>IF(ISNA( VLOOKUP(Y42,SetData!$D$3:$F$14,3,FALSE)),"",VLOOKUP(Y42,SetData!$D$3:$F$14,3,FALSE))</f>
        <v/>
      </c>
      <c r="AV42" s="1" t="str">
        <f>IF(OR(AU42=6,AU42=7,AU42=8,AU42=9),IF(ISNA( VLOOKUP(Y42,SetData!$D$3:$F$14,2,FALSE)),"",VLOOKUP(Y42,SetData!$D$3:$F$14,2,FALSE)),"")</f>
        <v/>
      </c>
      <c r="AW42" s="109"/>
      <c r="AX42" s="1" t="str">
        <f>IF(ISNA( VLOOKUP(AC42,SetData!$D$3:$F$14,3,FALSE)),"",VLOOKUP(AC42,SetData!$D$3:$F$14,3,FALSE))</f>
        <v/>
      </c>
      <c r="AY42" s="1" t="str">
        <f>IF(OR(AX42=6,AX42=7,AX42=8,AX42=9),IF(ISNA( VLOOKUP(AC42,SetData!$D$3:$F$14,2,FALSE)),"",VLOOKUP(AC42,SetData!$D$3:$F$14,2,FALSE)),"")</f>
        <v/>
      </c>
      <c r="BD42" s="58"/>
      <c r="BE42" s="58"/>
      <c r="BF42" s="58"/>
      <c r="BG42" s="58"/>
      <c r="BH42" s="58"/>
      <c r="BI42" s="58"/>
      <c r="BJ42" s="109"/>
      <c r="BK42" s="109"/>
      <c r="BL42" s="109"/>
      <c r="BN42" s="115"/>
      <c r="BO42" s="113" t="b">
        <f t="shared" si="1"/>
        <v>0</v>
      </c>
      <c r="BP42" s="113" t="b">
        <f t="shared" si="2"/>
        <v>0</v>
      </c>
      <c r="BQ42" s="114" t="b">
        <f t="shared" si="3"/>
        <v>0</v>
      </c>
      <c r="BR42" s="115" t="b">
        <f t="shared" si="7"/>
        <v>0</v>
      </c>
      <c r="BS42" s="115" t="b">
        <f t="shared" si="8"/>
        <v>0</v>
      </c>
      <c r="BT42" s="115" t="b">
        <f t="shared" si="9"/>
        <v>0</v>
      </c>
      <c r="BU42" s="115" t="b">
        <f t="shared" si="10"/>
        <v>0</v>
      </c>
      <c r="BV42" s="115"/>
      <c r="BW42" s="74" t="b">
        <f t="shared" si="11"/>
        <v>0</v>
      </c>
      <c r="BX42" s="115"/>
      <c r="BY42" s="115"/>
      <c r="BZ42" s="123">
        <f t="shared" si="14"/>
        <v>0</v>
      </c>
      <c r="CA42" s="115"/>
      <c r="CB42" s="117" t="str">
        <f t="shared" si="4"/>
        <v/>
      </c>
      <c r="CC42" s="115"/>
      <c r="CD42" s="115"/>
      <c r="CE42" s="115"/>
      <c r="CF42" s="115"/>
      <c r="CG42" s="115"/>
      <c r="CH42" s="115"/>
      <c r="CI42" s="1"/>
      <c r="CJ42" s="1"/>
      <c r="CK42" s="1"/>
      <c r="CL42" s="1"/>
      <c r="CM42" s="1"/>
      <c r="CN42" s="1"/>
    </row>
    <row r="43" spans="1:119" ht="21" customHeight="1">
      <c r="A43" s="310">
        <f t="shared" si="12"/>
        <v>42735</v>
      </c>
      <c r="B43" s="311"/>
      <c r="C43" s="312"/>
      <c r="D43" s="309">
        <f>IF(A43="","",WEEKDAY(A43))</f>
        <v>7</v>
      </c>
      <c r="E43" s="309"/>
      <c r="F43" s="309"/>
      <c r="G43" s="254"/>
      <c r="H43" s="255"/>
      <c r="I43" s="255"/>
      <c r="J43" s="256"/>
      <c r="K43" s="282"/>
      <c r="L43" s="283"/>
      <c r="M43" s="283"/>
      <c r="N43" s="284"/>
      <c r="O43" s="282"/>
      <c r="P43" s="283"/>
      <c r="Q43" s="283"/>
      <c r="R43" s="284"/>
      <c r="S43" s="291">
        <f t="shared" si="13"/>
        <v>0</v>
      </c>
      <c r="T43" s="292"/>
      <c r="U43" s="293"/>
      <c r="V43" s="257" t="str">
        <f>IF(祝日!A64=1,TIME(0,$BD$8 * 60,0),"")</f>
        <v/>
      </c>
      <c r="W43" s="258"/>
      <c r="X43" s="259"/>
      <c r="Y43" s="234" t="str">
        <f>IF(K43="",IF(O43="",IF(V43="","",祝日!J64-S43),祝日!J64-S43),祝日!J64-S43)</f>
        <v/>
      </c>
      <c r="Z43" s="235"/>
      <c r="AA43" s="235"/>
      <c r="AB43" s="236"/>
      <c r="AC43" s="234">
        <f t="shared" si="5"/>
        <v>0</v>
      </c>
      <c r="AD43" s="236"/>
      <c r="AE43" s="234">
        <f>IF(OR(BS43,BT43,BU43),"",IF(O43&lt;=SetData!$C$40,0,O43-SetData!$C$40))</f>
        <v>0</v>
      </c>
      <c r="AF43" s="236"/>
      <c r="AG43" s="234" t="str">
        <f t="shared" si="6"/>
        <v/>
      </c>
      <c r="AH43" s="236"/>
      <c r="AI43" s="234" t="str">
        <f>IF(OR(BS43,BT43,BU43),IF(O43&lt;=SetData!$C$40,0,O43-SetData!$C$40),"")</f>
        <v/>
      </c>
      <c r="AJ43" s="236"/>
      <c r="AK43" s="243"/>
      <c r="AL43" s="243"/>
      <c r="AM43" s="243"/>
      <c r="AN43" s="243"/>
      <c r="AO43" s="243"/>
      <c r="AP43" s="243"/>
      <c r="AQ43" s="243"/>
      <c r="AR43" s="243"/>
      <c r="AS43" s="243"/>
      <c r="AT43" s="51"/>
      <c r="AU43" s="1" t="str">
        <f>IF(ISNA( VLOOKUP(Y43,SetData!$D$3:$F$14,3,FALSE)),"",VLOOKUP(Y43,SetData!$D$3:$F$14,3,FALSE))</f>
        <v/>
      </c>
      <c r="AV43" s="1" t="str">
        <f>IF(OR(AU43=6,AU43=7,AU43=8,AU43=9),IF(ISNA( VLOOKUP(Y43,SetData!$D$3:$F$14,2,FALSE)),"",VLOOKUP(Y43,SetData!$D$3:$F$14,2,FALSE)),"")</f>
        <v/>
      </c>
      <c r="AW43" s="109"/>
      <c r="AX43" s="1" t="str">
        <f>IF(ISNA( VLOOKUP(AC43,SetData!$D$3:$F$14,3,FALSE)),"",VLOOKUP(AC43,SetData!$D$3:$F$14,3,FALSE))</f>
        <v/>
      </c>
      <c r="AY43" s="1" t="str">
        <f>IF(OR(AX43=6,AX43=7,AX43=8,AX43=9),IF(ISNA( VLOOKUP(AC43,SetData!$D$3:$F$14,2,FALSE)),"",VLOOKUP(AC43,SetData!$D$3:$F$14,2,FALSE)),"")</f>
        <v/>
      </c>
      <c r="BD43" s="58"/>
      <c r="BE43" s="58"/>
      <c r="BF43" s="58"/>
      <c r="BG43" s="58"/>
      <c r="BH43" s="58"/>
      <c r="BI43" s="58"/>
      <c r="BJ43" s="109"/>
      <c r="BK43" s="109"/>
      <c r="BL43" s="109"/>
      <c r="BN43" s="115"/>
      <c r="BO43" s="113" t="b">
        <f t="shared" si="1"/>
        <v>1</v>
      </c>
      <c r="BP43" s="113" t="b">
        <f t="shared" si="2"/>
        <v>0</v>
      </c>
      <c r="BQ43" s="114" t="b">
        <f t="shared" si="3"/>
        <v>0</v>
      </c>
      <c r="BR43" s="115" t="b">
        <f t="shared" si="7"/>
        <v>1</v>
      </c>
      <c r="BS43" s="115" t="b">
        <f t="shared" si="8"/>
        <v>0</v>
      </c>
      <c r="BT43" s="115" t="b">
        <f t="shared" si="9"/>
        <v>0</v>
      </c>
      <c r="BU43" s="115" t="b">
        <f t="shared" si="10"/>
        <v>0</v>
      </c>
      <c r="BV43" s="112"/>
      <c r="BW43" s="74" t="b">
        <f t="shared" si="11"/>
        <v>0</v>
      </c>
      <c r="BX43" s="112"/>
      <c r="BY43" s="112"/>
      <c r="BZ43" s="112"/>
      <c r="CA43" s="112"/>
      <c r="CB43" s="117" t="str">
        <f t="shared" si="4"/>
        <v/>
      </c>
      <c r="CC43" s="112"/>
      <c r="CD43" s="112"/>
      <c r="CE43" s="112"/>
      <c r="CF43" s="112"/>
      <c r="CG43" s="112"/>
      <c r="CH43" s="112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</row>
    <row r="44" spans="1:119" ht="18" customHeight="1" thickBot="1"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T44" s="111"/>
      <c r="AU44" s="1" t="str">
        <f>IF(ISNA( VLOOKUP(Y44,SetData!$D$3:$F$14,3,FALSE)),"",VLOOKUP(Y44,SetData!$D$3:$F$14,3,FALSE))</f>
        <v/>
      </c>
      <c r="AV44" s="25"/>
      <c r="BA44" s="58"/>
      <c r="BB44" s="58"/>
      <c r="BC44" s="58"/>
      <c r="BD44" s="58"/>
      <c r="BE44" s="58"/>
      <c r="BF44" s="58"/>
      <c r="BG44" s="109"/>
      <c r="BH44" s="109"/>
      <c r="BI44" s="109"/>
      <c r="BN44" s="1"/>
      <c r="BO44" s="118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</row>
    <row r="45" spans="1:119" s="32" customFormat="1" ht="31.5" customHeight="1">
      <c r="A45" s="342" t="s">
        <v>86</v>
      </c>
      <c r="B45" s="343"/>
      <c r="C45" s="343"/>
      <c r="D45" s="343"/>
      <c r="E45" s="344"/>
      <c r="F45" s="342" t="s">
        <v>114</v>
      </c>
      <c r="G45" s="343"/>
      <c r="H45" s="343"/>
      <c r="I45" s="343"/>
      <c r="J45" s="343"/>
      <c r="K45" s="344"/>
      <c r="L45" s="342" t="s">
        <v>115</v>
      </c>
      <c r="M45" s="343"/>
      <c r="N45" s="343"/>
      <c r="O45" s="343"/>
      <c r="P45" s="343"/>
      <c r="Q45" s="343"/>
      <c r="R45" s="343"/>
      <c r="S45" s="344"/>
      <c r="T45" s="324" t="s">
        <v>125</v>
      </c>
      <c r="U45" s="325"/>
      <c r="V45" s="325"/>
      <c r="W45" s="325"/>
      <c r="X45" s="326"/>
      <c r="Y45" s="324" t="s">
        <v>145</v>
      </c>
      <c r="Z45" s="325"/>
      <c r="AA45" s="325"/>
      <c r="AB45" s="325"/>
      <c r="AC45" s="325"/>
      <c r="AD45" s="325"/>
      <c r="AE45" s="325"/>
      <c r="AF45" s="326"/>
      <c r="AG45" s="324" t="s">
        <v>144</v>
      </c>
      <c r="AH45" s="325"/>
      <c r="AI45" s="325"/>
      <c r="AJ45" s="325"/>
      <c r="AK45" s="325"/>
      <c r="AL45" s="326"/>
      <c r="AM45" s="324" t="s">
        <v>146</v>
      </c>
      <c r="AN45" s="325"/>
      <c r="AO45" s="325"/>
      <c r="AP45" s="325"/>
      <c r="AQ45" s="325"/>
      <c r="AR45" s="325"/>
      <c r="AS45" s="326"/>
      <c r="AT45" s="154"/>
      <c r="AU45" s="154"/>
      <c r="AV45" s="124"/>
      <c r="AW45" s="124"/>
      <c r="AX45" s="124"/>
      <c r="AY45" s="124"/>
      <c r="AZ45" s="124"/>
      <c r="BA45" s="125"/>
      <c r="BB45" s="125"/>
      <c r="BC45" s="125"/>
      <c r="BD45" s="125"/>
      <c r="BE45" s="126"/>
      <c r="BF45" s="126"/>
      <c r="BG45" s="126"/>
      <c r="BH45" s="126"/>
      <c r="BI45" s="126"/>
      <c r="BJ45" s="126"/>
      <c r="BK45" s="106"/>
      <c r="BL45" s="106"/>
      <c r="BM45" s="106"/>
      <c r="BN45" s="106"/>
      <c r="BO45" s="127"/>
      <c r="BP45" s="127"/>
      <c r="BQ45" s="128"/>
      <c r="BR45" s="128"/>
      <c r="BS45" s="127"/>
      <c r="BT45" s="127"/>
      <c r="BU45" s="95"/>
      <c r="BV45" s="127"/>
      <c r="BW45" s="127"/>
      <c r="BX45" s="127"/>
      <c r="BY45" s="127"/>
      <c r="BZ45" s="127"/>
      <c r="CA45" s="127"/>
      <c r="CB45" s="127"/>
      <c r="CC45" s="127"/>
      <c r="CD45" s="129"/>
      <c r="CE45" s="129"/>
      <c r="CF45" s="129"/>
      <c r="CG45" s="130"/>
      <c r="CH45" s="131"/>
      <c r="CI45" s="131"/>
      <c r="CJ45" s="132"/>
      <c r="CK45" s="133"/>
      <c r="CL45" s="132"/>
      <c r="CM45" s="133"/>
      <c r="CN45" s="134"/>
      <c r="CO45" s="135"/>
      <c r="CP45" s="134"/>
      <c r="CQ45" s="135"/>
      <c r="CR45" s="132"/>
      <c r="CS45" s="133"/>
      <c r="CT45" s="136"/>
      <c r="CU45" s="129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06"/>
      <c r="DK45" s="106"/>
      <c r="DL45" s="106"/>
      <c r="DM45" s="106"/>
      <c r="DN45" s="106"/>
      <c r="DO45" s="106"/>
    </row>
    <row r="46" spans="1:119" s="64" customFormat="1" ht="22.5" customHeight="1" thickBot="1">
      <c r="A46" s="345">
        <f>COUNTIF(V13:X43,"&gt;0")</f>
        <v>21</v>
      </c>
      <c r="B46" s="346"/>
      <c r="C46" s="346"/>
      <c r="D46" s="346"/>
      <c r="E46" s="347"/>
      <c r="F46" s="348">
        <f>COUNTIF(K13:N43,"&gt;0")</f>
        <v>7</v>
      </c>
      <c r="G46" s="349"/>
      <c r="H46" s="349"/>
      <c r="I46" s="349"/>
      <c r="J46" s="349"/>
      <c r="K46" s="350"/>
      <c r="L46" s="354">
        <f>SUM(Y13:AB43)</f>
        <v>2.4548611111111112</v>
      </c>
      <c r="M46" s="355"/>
      <c r="N46" s="355"/>
      <c r="O46" s="357"/>
      <c r="P46" s="339">
        <f>ROUNDDOWN(L46*24,2)</f>
        <v>58.91</v>
      </c>
      <c r="Q46" s="340"/>
      <c r="R46" s="340"/>
      <c r="S46" s="341"/>
      <c r="T46" s="354">
        <f>SUM(AF13:AF43)</f>
        <v>0</v>
      </c>
      <c r="U46" s="355"/>
      <c r="V46" s="355"/>
      <c r="W46" s="355"/>
      <c r="X46" s="356"/>
      <c r="Y46" s="354">
        <f>SUM(AE13:AE43)</f>
        <v>0</v>
      </c>
      <c r="Z46" s="355"/>
      <c r="AA46" s="355"/>
      <c r="AB46" s="355"/>
      <c r="AC46" s="355"/>
      <c r="AD46" s="355"/>
      <c r="AE46" s="355"/>
      <c r="AF46" s="356"/>
      <c r="AG46" s="358">
        <f>SUM(AG13:AH43)</f>
        <v>0</v>
      </c>
      <c r="AH46" s="359"/>
      <c r="AI46" s="359"/>
      <c r="AJ46" s="359"/>
      <c r="AK46" s="359"/>
      <c r="AL46" s="360"/>
      <c r="AM46" s="354">
        <f>SUM(AI13:AJ43)</f>
        <v>0</v>
      </c>
      <c r="AN46" s="355"/>
      <c r="AO46" s="355"/>
      <c r="AP46" s="355"/>
      <c r="AQ46" s="355"/>
      <c r="AR46" s="355"/>
      <c r="AS46" s="356"/>
      <c r="AT46" s="155"/>
      <c r="AU46" s="155"/>
      <c r="AV46" s="138"/>
      <c r="AW46" s="137"/>
      <c r="AX46" s="138"/>
      <c r="AY46" s="138"/>
      <c r="AZ46" s="138"/>
      <c r="BA46" s="137"/>
      <c r="BB46" s="137"/>
      <c r="BC46" s="137"/>
      <c r="BD46" s="137"/>
      <c r="BE46" s="139"/>
      <c r="BF46" s="139"/>
      <c r="BG46" s="139"/>
      <c r="BH46" s="139"/>
      <c r="BI46" s="139"/>
      <c r="BJ46" s="139"/>
      <c r="BK46" s="140"/>
      <c r="BL46" s="140"/>
      <c r="BM46" s="140"/>
      <c r="BN46" s="140"/>
      <c r="BO46" s="141"/>
      <c r="BP46" s="141"/>
      <c r="BQ46" s="142"/>
      <c r="BR46" s="142"/>
      <c r="BS46" s="141"/>
      <c r="BT46" s="141"/>
      <c r="BU46" s="141"/>
      <c r="BV46" s="141"/>
      <c r="BW46" s="141"/>
      <c r="BX46" s="141"/>
      <c r="BY46" s="141"/>
      <c r="BZ46" s="141"/>
      <c r="CA46" s="141"/>
      <c r="CB46" s="141"/>
      <c r="CC46" s="141"/>
      <c r="CD46" s="222"/>
      <c r="CE46" s="222"/>
      <c r="CF46" s="222"/>
      <c r="CG46" s="223"/>
      <c r="CH46" s="223"/>
      <c r="CI46" s="223"/>
      <c r="CJ46" s="224"/>
      <c r="CK46" s="224"/>
      <c r="CL46" s="224"/>
      <c r="CM46" s="224"/>
      <c r="CN46" s="225"/>
      <c r="CO46" s="225"/>
      <c r="CP46" s="225"/>
      <c r="CQ46" s="225"/>
      <c r="CR46" s="226"/>
      <c r="CS46" s="226"/>
      <c r="CT46" s="227"/>
      <c r="CU46" s="227"/>
      <c r="CV46" s="141"/>
      <c r="CW46" s="141"/>
      <c r="CX46" s="141"/>
      <c r="CY46" s="141"/>
      <c r="CZ46" s="141"/>
      <c r="DA46" s="141"/>
      <c r="DB46" s="141"/>
      <c r="DC46" s="141"/>
      <c r="DD46" s="141"/>
      <c r="DE46" s="141"/>
      <c r="DF46" s="141"/>
      <c r="DG46" s="141"/>
      <c r="DH46" s="141"/>
      <c r="DI46" s="141"/>
      <c r="DJ46" s="140"/>
      <c r="DK46" s="140"/>
      <c r="DL46" s="140"/>
      <c r="DM46" s="140"/>
      <c r="DN46" s="140"/>
      <c r="DO46" s="140"/>
    </row>
    <row r="47" spans="1:119" s="32" customFormat="1" ht="22.5" customHeight="1">
      <c r="A47" s="66"/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7"/>
      <c r="Q47" s="67"/>
      <c r="R47" s="68"/>
      <c r="S47" s="69"/>
      <c r="T47" s="68"/>
      <c r="U47" s="68"/>
      <c r="V47" s="68"/>
      <c r="W47" s="68"/>
      <c r="X47" s="68"/>
      <c r="Y47" s="68"/>
      <c r="Z47" s="70"/>
      <c r="AA47" s="70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6"/>
      <c r="AN47" s="71"/>
      <c r="AO47" s="72"/>
      <c r="AP47" s="73"/>
      <c r="AQ47" s="73"/>
      <c r="AR47" s="73"/>
      <c r="AS47" s="72"/>
      <c r="AT47" s="154"/>
      <c r="AU47" s="154"/>
      <c r="AV47" s="124"/>
      <c r="AW47" s="124"/>
      <c r="AX47" s="124"/>
      <c r="AY47" s="124"/>
      <c r="AZ47" s="124"/>
      <c r="BA47" s="125"/>
      <c r="BB47" s="125"/>
      <c r="BC47" s="125"/>
      <c r="BD47" s="125"/>
      <c r="BE47" s="126"/>
      <c r="BF47" s="126"/>
      <c r="BG47" s="126"/>
      <c r="BH47" s="126"/>
      <c r="BI47" s="126"/>
      <c r="BJ47" s="126"/>
      <c r="BK47" s="106"/>
      <c r="BL47" s="106"/>
      <c r="BM47" s="106"/>
      <c r="BN47" s="106"/>
      <c r="BO47" s="127"/>
      <c r="BP47" s="127"/>
      <c r="BQ47" s="128"/>
      <c r="BR47" s="128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43"/>
      <c r="CF47" s="143"/>
      <c r="CG47" s="143"/>
      <c r="CH47" s="143"/>
      <c r="CI47" s="143"/>
      <c r="CJ47" s="143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06"/>
      <c r="DK47" s="106"/>
      <c r="DL47" s="106"/>
      <c r="DM47" s="106"/>
      <c r="DN47" s="106"/>
      <c r="DO47" s="106"/>
    </row>
    <row r="48" spans="1:119" s="221" customFormat="1" ht="17.25" customHeight="1">
      <c r="A48" s="334" t="s">
        <v>89</v>
      </c>
      <c r="B48" s="327"/>
      <c r="C48" s="327"/>
      <c r="D48" s="327"/>
      <c r="E48" s="327"/>
      <c r="F48" s="327"/>
      <c r="G48" s="327"/>
      <c r="H48" s="327"/>
      <c r="I48" s="328"/>
      <c r="J48" s="336" t="s">
        <v>182</v>
      </c>
      <c r="K48" s="337"/>
      <c r="L48" s="337"/>
      <c r="M48" s="337"/>
      <c r="N48" s="337"/>
      <c r="O48" s="337"/>
      <c r="P48" s="338"/>
      <c r="Q48" s="334" t="s">
        <v>181</v>
      </c>
      <c r="R48" s="327"/>
      <c r="S48" s="327"/>
      <c r="T48" s="327"/>
      <c r="U48" s="327"/>
      <c r="V48" s="327"/>
      <c r="W48" s="328"/>
      <c r="X48" s="334" t="s">
        <v>90</v>
      </c>
      <c r="Y48" s="327"/>
      <c r="Z48" s="327"/>
      <c r="AA48" s="327"/>
      <c r="AB48" s="327"/>
      <c r="AC48" s="327"/>
      <c r="AD48" s="327"/>
      <c r="AE48" s="328"/>
      <c r="AF48" s="334" t="s">
        <v>179</v>
      </c>
      <c r="AG48" s="327"/>
      <c r="AH48" s="327"/>
      <c r="AI48" s="327"/>
      <c r="AJ48" s="327"/>
      <c r="AK48" s="327"/>
      <c r="AL48" s="328"/>
      <c r="AM48" s="327" t="s">
        <v>67</v>
      </c>
      <c r="AN48" s="327"/>
      <c r="AO48" s="327"/>
      <c r="AP48" s="327"/>
      <c r="AQ48" s="327"/>
      <c r="AR48" s="327"/>
      <c r="AS48" s="328"/>
    </row>
    <row r="49" spans="1:119" s="221" customFormat="1" ht="17.25" customHeight="1">
      <c r="A49" s="335">
        <f>COUNTIF(G13:J43,SetData!$C$20)</f>
        <v>5</v>
      </c>
      <c r="B49" s="329"/>
      <c r="C49" s="330"/>
      <c r="D49" s="331">
        <f>SUMIFS(Y13:AB43,G13:J43,SetData!$C$20)</f>
        <v>1.8854166666666665</v>
      </c>
      <c r="E49" s="332"/>
      <c r="F49" s="332"/>
      <c r="G49" s="332"/>
      <c r="H49" s="332"/>
      <c r="I49" s="333"/>
      <c r="J49" s="335">
        <f>COUNTIFS(BS13:BS43,TRUE)</f>
        <v>0</v>
      </c>
      <c r="K49" s="329"/>
      <c r="L49" s="330"/>
      <c r="M49" s="332">
        <f>SUMIF(BS13:BS43,TRUE,Y13:AB43)</f>
        <v>0</v>
      </c>
      <c r="N49" s="332"/>
      <c r="O49" s="332"/>
      <c r="P49" s="333"/>
      <c r="Q49" s="335">
        <f>COUNTIFS(BW13:BW43,TRUE)</f>
        <v>0</v>
      </c>
      <c r="R49" s="329"/>
      <c r="S49" s="330"/>
      <c r="T49" s="331">
        <f>SUMIF(BW13:BW43,TRUE,Y13:AB43)</f>
        <v>0</v>
      </c>
      <c r="U49" s="332"/>
      <c r="V49" s="332"/>
      <c r="W49" s="333"/>
      <c r="X49" s="335">
        <f>COUNTIF(G13:J43,SetData!$C$22)</f>
        <v>0</v>
      </c>
      <c r="Y49" s="329"/>
      <c r="Z49" s="329"/>
      <c r="AA49" s="330"/>
      <c r="AB49" s="331">
        <f>SUMIFS(Y13:AB43,G13:J43,SetData!$C$22)</f>
        <v>0</v>
      </c>
      <c r="AC49" s="332"/>
      <c r="AD49" s="332"/>
      <c r="AE49" s="333"/>
      <c r="AF49" s="335">
        <f>COUNTIF(G13:J43,SetData!$C$23)</f>
        <v>2</v>
      </c>
      <c r="AG49" s="329"/>
      <c r="AH49" s="330"/>
      <c r="AI49" s="331">
        <f ca="1">SUMIF(G13:J43,SetData!$C$23,CB13:CB43)</f>
        <v>3.125E-2</v>
      </c>
      <c r="AJ49" s="332"/>
      <c r="AK49" s="332"/>
      <c r="AL49" s="333"/>
      <c r="AM49" s="329">
        <f>COUNTIF(G13:J43,SetData!$C$24)</f>
        <v>0</v>
      </c>
      <c r="AN49" s="330"/>
      <c r="AO49" s="331">
        <f ca="1">SUMIF(G13:J43,SetData!$C$24,V13:X43)</f>
        <v>0</v>
      </c>
      <c r="AP49" s="332"/>
      <c r="AQ49" s="332"/>
      <c r="AR49" s="332"/>
      <c r="AS49" s="333"/>
    </row>
    <row r="50" spans="1:119" s="221" customFormat="1" ht="6.75" customHeight="1"/>
    <row r="51" spans="1:119" s="221" customFormat="1" ht="17.25" customHeight="1">
      <c r="A51" s="334" t="s">
        <v>174</v>
      </c>
      <c r="B51" s="327"/>
      <c r="C51" s="327"/>
      <c r="D51" s="327"/>
      <c r="E51" s="327"/>
      <c r="F51" s="327"/>
      <c r="G51" s="327"/>
      <c r="H51" s="327"/>
      <c r="I51" s="328"/>
      <c r="J51" s="336" t="s">
        <v>175</v>
      </c>
      <c r="K51" s="337"/>
      <c r="L51" s="337"/>
      <c r="M51" s="337"/>
      <c r="N51" s="337"/>
      <c r="O51" s="337"/>
      <c r="P51" s="338"/>
      <c r="Q51" s="334" t="s">
        <v>176</v>
      </c>
      <c r="R51" s="327"/>
      <c r="S51" s="327"/>
      <c r="T51" s="327"/>
      <c r="U51" s="327"/>
      <c r="V51" s="327"/>
      <c r="W51" s="328"/>
      <c r="X51" s="334" t="s">
        <v>177</v>
      </c>
      <c r="Y51" s="327"/>
      <c r="Z51" s="327"/>
      <c r="AA51" s="327"/>
      <c r="AB51" s="327"/>
      <c r="AC51" s="327"/>
      <c r="AD51" s="327"/>
      <c r="AE51" s="328"/>
      <c r="AF51" s="334" t="s">
        <v>178</v>
      </c>
      <c r="AG51" s="327"/>
      <c r="AH51" s="327"/>
      <c r="AI51" s="327"/>
      <c r="AJ51" s="327"/>
      <c r="AK51" s="327"/>
      <c r="AL51" s="328"/>
      <c r="AM51" s="327" t="s">
        <v>173</v>
      </c>
      <c r="AN51" s="327"/>
      <c r="AO51" s="327"/>
      <c r="AP51" s="327"/>
      <c r="AQ51" s="327"/>
      <c r="AR51" s="327"/>
      <c r="AS51" s="328"/>
    </row>
    <row r="52" spans="1:119" s="221" customFormat="1" ht="17.25" customHeight="1">
      <c r="A52" s="335">
        <f>COUNTIF(G13:J43,SetData!$C$25)</f>
        <v>0</v>
      </c>
      <c r="B52" s="329"/>
      <c r="C52" s="330"/>
      <c r="D52" s="331">
        <f ca="1">SUMIF(G13:J43,SetData!$C$25,V13:X43)</f>
        <v>0</v>
      </c>
      <c r="E52" s="332"/>
      <c r="F52" s="332"/>
      <c r="G52" s="332"/>
      <c r="H52" s="332"/>
      <c r="I52" s="333"/>
      <c r="J52" s="335">
        <f>COUNTIF(G13:J43,SetData!$C$26)</f>
        <v>0</v>
      </c>
      <c r="K52" s="329"/>
      <c r="L52" s="330"/>
      <c r="M52" s="332">
        <f ca="1">IF(SUMIF(G13:J43,SetData!$C$26,V13:X43)&lt;=SUMIF(G13:J43,SetData!$C$26,Y13:AB43),0,SUMIF(G13:J43,SetData!$C$26,V13:X43)-SUMIF(G13:J43,SetData!$C$26,Y13:AB43))</f>
        <v>0</v>
      </c>
      <c r="N52" s="332"/>
      <c r="O52" s="332"/>
      <c r="P52" s="333"/>
      <c r="Q52" s="335">
        <f>COUNTIF(G13:J43,SetData!$C$28)</f>
        <v>0</v>
      </c>
      <c r="R52" s="329"/>
      <c r="S52" s="330"/>
      <c r="T52" s="331">
        <f ca="1">SUMIF(G13:J43,SetData!$C$28,V13:X43)</f>
        <v>0</v>
      </c>
      <c r="U52" s="332"/>
      <c r="V52" s="332"/>
      <c r="W52" s="333"/>
      <c r="X52" s="335">
        <f>COUNTIF(G13:J43,SetData!$C$29)</f>
        <v>0</v>
      </c>
      <c r="Y52" s="329"/>
      <c r="Z52" s="329"/>
      <c r="AA52" s="330"/>
      <c r="AB52" s="331">
        <f ca="1">IF(SUMIF(G13:J43,SetData!$C$31,V13:X43)&lt;=SUMIF(G13:J43,SetData!$C$31,Y13:AB43),0,SUMIF(G13:J43,SetData!$C$31,V13:X43)-SUMIF(G13:J43,SetData!$C$31,Y13:AB43))</f>
        <v>0</v>
      </c>
      <c r="AC52" s="332"/>
      <c r="AD52" s="332"/>
      <c r="AE52" s="333"/>
      <c r="AF52" s="335">
        <f>COUNTIF(G13:J43,SetData!$C$30)</f>
        <v>0</v>
      </c>
      <c r="AG52" s="329"/>
      <c r="AH52" s="330"/>
      <c r="AI52" s="331">
        <f ca="1">SUMIF(G13:J43,SetData!$C$32,V13:X43)</f>
        <v>0</v>
      </c>
      <c r="AJ52" s="332"/>
      <c r="AK52" s="332"/>
      <c r="AL52" s="333"/>
      <c r="AM52" s="329">
        <f>COUNTIF(G13:J43,SetData!$C$27)</f>
        <v>0</v>
      </c>
      <c r="AN52" s="330"/>
      <c r="AO52" s="331">
        <f ca="1">SUMIF(G13:J43,SetData!$C$27,V13:X43)</f>
        <v>0</v>
      </c>
      <c r="AP52" s="332"/>
      <c r="AQ52" s="332"/>
      <c r="AR52" s="332"/>
      <c r="AS52" s="333"/>
    </row>
    <row r="53" spans="1:119" s="36" customFormat="1" ht="6.75" customHeight="1">
      <c r="A53" s="35"/>
      <c r="B53" s="35"/>
      <c r="C53" s="35"/>
      <c r="D53" s="42"/>
      <c r="E53" s="41"/>
      <c r="F53" s="41"/>
      <c r="G53" s="41"/>
      <c r="H53" s="41"/>
      <c r="I53" s="41"/>
      <c r="J53" s="41"/>
      <c r="K53" s="40"/>
      <c r="L53" s="40"/>
      <c r="M53" s="40"/>
      <c r="N53" s="40"/>
      <c r="O53" s="40"/>
      <c r="P53" s="40"/>
      <c r="Q53" s="40"/>
      <c r="R53" s="40"/>
      <c r="S53" s="40"/>
      <c r="T53" s="40"/>
      <c r="V53" s="40"/>
      <c r="X53" s="43"/>
      <c r="Y53" s="40"/>
      <c r="Z53" s="40"/>
      <c r="AA53" s="40"/>
      <c r="AB53" s="40"/>
      <c r="AC53" s="40"/>
      <c r="AD53" s="40"/>
      <c r="AE53" s="40"/>
      <c r="AF53" s="40"/>
      <c r="AG53" s="40"/>
      <c r="AH53" s="40"/>
      <c r="AI53" s="40"/>
      <c r="AJ53" s="40"/>
      <c r="AK53" s="40"/>
      <c r="AL53" s="40"/>
      <c r="AN53" s="37"/>
      <c r="AO53" s="38"/>
      <c r="AP53" s="39"/>
      <c r="AQ53" s="39"/>
      <c r="AR53" s="39"/>
      <c r="AS53" s="38"/>
      <c r="AT53" s="156"/>
      <c r="AU53" s="156"/>
      <c r="AV53" s="144"/>
      <c r="AW53" s="144"/>
      <c r="AX53" s="144"/>
      <c r="AY53" s="144"/>
      <c r="AZ53" s="144"/>
      <c r="BA53" s="145"/>
      <c r="BB53" s="145"/>
      <c r="BC53" s="145"/>
      <c r="BD53" s="145"/>
      <c r="BE53" s="146"/>
      <c r="BF53" s="146"/>
      <c r="BG53" s="146"/>
      <c r="BH53" s="146"/>
      <c r="BI53" s="146"/>
      <c r="BJ53" s="146"/>
      <c r="BK53" s="97"/>
      <c r="BL53" s="97"/>
      <c r="BM53" s="97"/>
      <c r="BN53" s="97"/>
      <c r="BO53" s="95"/>
      <c r="BP53" s="95"/>
      <c r="BQ53" s="147"/>
      <c r="BR53" s="147"/>
      <c r="BS53" s="95"/>
      <c r="BT53" s="95"/>
      <c r="BU53" s="95"/>
      <c r="BV53" s="95"/>
      <c r="BW53" s="95"/>
      <c r="BX53" s="95"/>
      <c r="BY53" s="95"/>
      <c r="BZ53" s="95"/>
      <c r="CA53" s="95"/>
      <c r="CB53" s="95"/>
      <c r="CC53" s="95"/>
      <c r="CD53" s="95"/>
      <c r="CE53" s="148"/>
      <c r="CF53" s="148"/>
      <c r="CG53" s="148"/>
      <c r="CH53" s="148"/>
      <c r="CI53" s="148"/>
      <c r="CJ53" s="148"/>
      <c r="CK53" s="95"/>
      <c r="CL53" s="95"/>
      <c r="CM53" s="95"/>
      <c r="CN53" s="95"/>
      <c r="CO53" s="95"/>
      <c r="CP53" s="95"/>
      <c r="CQ53" s="95"/>
      <c r="CR53" s="95"/>
      <c r="CS53" s="95"/>
      <c r="CT53" s="95"/>
      <c r="CU53" s="95"/>
      <c r="CV53" s="95"/>
      <c r="CW53" s="95"/>
      <c r="CX53" s="95"/>
      <c r="CY53" s="95"/>
      <c r="CZ53" s="95"/>
      <c r="DA53" s="95"/>
      <c r="DB53" s="95"/>
      <c r="DC53" s="95"/>
      <c r="DD53" s="95"/>
      <c r="DE53" s="95"/>
      <c r="DF53" s="95"/>
      <c r="DG53" s="95"/>
      <c r="DH53" s="95"/>
      <c r="DI53" s="95"/>
      <c r="DJ53" s="97"/>
      <c r="DK53" s="97"/>
      <c r="DL53" s="97"/>
      <c r="DM53" s="97"/>
      <c r="DN53" s="97"/>
      <c r="DO53" s="97"/>
    </row>
    <row r="54" spans="1:119" s="36" customFormat="1" ht="15.75" customHeight="1">
      <c r="A54" s="94"/>
      <c r="B54" s="94"/>
      <c r="C54" s="94"/>
      <c r="D54" s="94"/>
      <c r="E54" s="94"/>
      <c r="F54" s="95"/>
      <c r="G54" s="95"/>
      <c r="H54" s="95"/>
      <c r="I54" s="95"/>
      <c r="J54" s="95"/>
      <c r="K54" s="95"/>
      <c r="L54" s="95"/>
      <c r="M54" s="95"/>
      <c r="N54" s="95"/>
      <c r="O54" s="95"/>
      <c r="P54" s="95"/>
      <c r="Q54" s="95"/>
      <c r="R54" s="95"/>
      <c r="S54" s="95"/>
      <c r="T54" s="95"/>
      <c r="U54" s="95"/>
      <c r="V54" s="95"/>
      <c r="W54" s="95"/>
      <c r="X54" s="96"/>
      <c r="Y54" s="95"/>
      <c r="Z54" s="95"/>
      <c r="AA54" s="95"/>
      <c r="AB54" s="95"/>
      <c r="AC54" s="95"/>
      <c r="AD54" s="95"/>
      <c r="AE54" s="95"/>
      <c r="AF54" s="95"/>
      <c r="AG54" s="95"/>
      <c r="AH54" s="95"/>
      <c r="AI54" s="95"/>
      <c r="AJ54" s="95"/>
      <c r="AK54" s="95"/>
      <c r="AL54" s="95"/>
      <c r="AM54" s="97"/>
      <c r="AN54" s="98"/>
      <c r="AO54" s="99"/>
      <c r="AP54" s="39"/>
      <c r="AQ54" s="39"/>
      <c r="AR54" s="39"/>
      <c r="AS54" s="38"/>
      <c r="AT54" s="156"/>
      <c r="AU54" s="156"/>
      <c r="AV54" s="144"/>
      <c r="AW54" s="144"/>
      <c r="AX54" s="144"/>
      <c r="AY54" s="144"/>
      <c r="AZ54" s="144"/>
      <c r="BA54" s="145"/>
      <c r="BB54" s="145"/>
      <c r="BC54" s="145"/>
      <c r="BD54" s="145"/>
      <c r="BE54" s="146"/>
      <c r="BF54" s="146"/>
      <c r="BG54" s="146"/>
      <c r="BH54" s="146"/>
      <c r="BI54" s="146"/>
      <c r="BJ54" s="146"/>
      <c r="BK54" s="97"/>
      <c r="BL54" s="97"/>
      <c r="BM54" s="97"/>
      <c r="BN54" s="97"/>
      <c r="BO54" s="95"/>
      <c r="BP54" s="95"/>
      <c r="BQ54" s="147"/>
      <c r="BR54" s="147"/>
      <c r="BS54" s="95"/>
      <c r="BT54" s="95"/>
      <c r="BU54" s="95"/>
      <c r="BV54" s="95"/>
      <c r="BW54" s="95"/>
      <c r="BX54" s="95"/>
      <c r="BY54" s="158"/>
      <c r="BZ54" s="158"/>
      <c r="CA54" s="158"/>
      <c r="CB54" s="158"/>
      <c r="CC54" s="158"/>
      <c r="CD54" s="158"/>
      <c r="CE54" s="148"/>
      <c r="CF54" s="148"/>
      <c r="CG54" s="148"/>
      <c r="CH54" s="148"/>
      <c r="CI54" s="148"/>
      <c r="CJ54" s="148"/>
      <c r="CK54" s="95"/>
      <c r="CL54" s="95"/>
      <c r="CM54" s="95"/>
      <c r="CN54" s="95"/>
      <c r="CO54" s="95"/>
      <c r="CP54" s="95"/>
      <c r="CQ54" s="95"/>
      <c r="CR54" s="95"/>
      <c r="CS54" s="95"/>
      <c r="CT54" s="95"/>
      <c r="CU54" s="95"/>
      <c r="CV54" s="95"/>
      <c r="CW54" s="95"/>
      <c r="CX54" s="95"/>
      <c r="CY54" s="95"/>
      <c r="CZ54" s="95"/>
      <c r="DA54" s="95"/>
      <c r="DB54" s="95"/>
      <c r="DC54" s="95"/>
      <c r="DD54" s="95"/>
      <c r="DE54" s="95"/>
      <c r="DF54" s="95"/>
      <c r="DG54" s="95"/>
      <c r="DH54" s="95"/>
      <c r="DI54" s="95"/>
      <c r="DJ54" s="97"/>
      <c r="DK54" s="97"/>
      <c r="DL54" s="97"/>
      <c r="DM54" s="97"/>
      <c r="DN54" s="97"/>
      <c r="DO54" s="97"/>
    </row>
    <row r="55" spans="1:119" ht="15.75" customHeight="1">
      <c r="C55" s="4"/>
      <c r="D55" s="100"/>
      <c r="E55" s="107"/>
      <c r="F55" s="107"/>
      <c r="G55" s="107"/>
      <c r="H55" s="100"/>
      <c r="I55" s="100"/>
      <c r="J55" s="107"/>
      <c r="K55" s="107"/>
      <c r="L55" s="107"/>
      <c r="M55" s="101"/>
      <c r="N55" s="4"/>
      <c r="O55" s="100"/>
      <c r="P55" s="107"/>
      <c r="Q55" s="107"/>
      <c r="R55" s="107"/>
      <c r="S55" s="107"/>
      <c r="T55" s="100"/>
      <c r="U55" s="107"/>
      <c r="V55" s="107"/>
      <c r="W55" s="107"/>
      <c r="X55" s="100"/>
      <c r="Y55" s="107"/>
      <c r="Z55" s="107"/>
      <c r="AA55" s="107"/>
      <c r="AB55" s="107"/>
      <c r="AC55" s="100"/>
      <c r="AD55" s="107"/>
      <c r="AE55" s="107"/>
      <c r="AF55" s="107"/>
      <c r="AG55" s="107"/>
      <c r="AH55" s="101"/>
      <c r="AI55" s="351" t="s">
        <v>185</v>
      </c>
      <c r="AJ55" s="352"/>
      <c r="AK55" s="352"/>
      <c r="AL55" s="353"/>
      <c r="AM55" s="351" t="s">
        <v>183</v>
      </c>
      <c r="AN55" s="352"/>
      <c r="AO55" s="353"/>
      <c r="AP55" s="351" t="s">
        <v>184</v>
      </c>
      <c r="AQ55" s="352"/>
      <c r="AR55" s="352"/>
      <c r="AS55" s="353"/>
      <c r="AT55" s="229"/>
      <c r="AU55" s="109"/>
      <c r="AW55" s="2"/>
      <c r="BB55" s="58"/>
      <c r="BC55" s="58"/>
      <c r="BD55" s="58"/>
      <c r="BE55" s="58"/>
      <c r="BF55" s="58"/>
      <c r="BG55" s="58"/>
      <c r="BH55" s="109"/>
      <c r="BI55" s="109"/>
      <c r="BJ55" s="109"/>
      <c r="BN55" s="1"/>
      <c r="BO55" s="1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</row>
    <row r="56" spans="1:119" ht="9" hidden="1" customHeight="1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230"/>
      <c r="AJ56" s="231"/>
      <c r="AK56" s="231"/>
      <c r="AL56" s="232"/>
      <c r="AM56" s="230"/>
      <c r="AN56" s="231"/>
      <c r="AO56" s="232"/>
      <c r="AP56" s="230"/>
      <c r="AQ56" s="231"/>
      <c r="AR56" s="231"/>
      <c r="AS56" s="232"/>
      <c r="AT56" s="229"/>
      <c r="AU56" s="109"/>
      <c r="AW56" s="2"/>
      <c r="BB56" s="58"/>
      <c r="BC56" s="58"/>
      <c r="BD56" s="58"/>
      <c r="BE56" s="58"/>
      <c r="BF56" s="58"/>
      <c r="BG56" s="58"/>
      <c r="BH56" s="109"/>
      <c r="BI56" s="109"/>
      <c r="BJ56" s="109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</row>
    <row r="57" spans="1:119" ht="15" customHeight="1">
      <c r="V57" s="92"/>
      <c r="W57" s="102"/>
      <c r="X57" s="102"/>
      <c r="Y57" s="102"/>
      <c r="Z57" s="102"/>
      <c r="AA57" s="102"/>
      <c r="AB57" s="102"/>
      <c r="AC57" s="102"/>
      <c r="AD57" s="102"/>
      <c r="AE57" s="102"/>
      <c r="AI57" s="374"/>
      <c r="AJ57" s="375"/>
      <c r="AK57" s="375"/>
      <c r="AL57" s="375"/>
      <c r="AM57" s="376"/>
      <c r="AN57" s="377"/>
      <c r="AO57" s="378"/>
      <c r="AP57" s="376"/>
      <c r="AQ57" s="377"/>
      <c r="AR57" s="377"/>
      <c r="AS57" s="378"/>
      <c r="BA57" s="58"/>
      <c r="BB57" s="58"/>
      <c r="BC57" s="58"/>
      <c r="BD57" s="58"/>
      <c r="BE57" s="58"/>
      <c r="BF57" s="58"/>
      <c r="BG57" s="109"/>
      <c r="BH57" s="109"/>
      <c r="BI57" s="109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</row>
    <row r="58" spans="1:119" ht="15" customHeight="1">
      <c r="V58" s="92"/>
      <c r="W58" s="102"/>
      <c r="X58" s="102"/>
      <c r="Y58" s="102"/>
      <c r="Z58" s="102"/>
      <c r="AA58" s="102"/>
      <c r="AB58" s="102"/>
      <c r="AC58" s="102"/>
      <c r="AD58" s="102"/>
      <c r="AE58" s="102"/>
      <c r="AI58" s="361"/>
      <c r="AJ58" s="362"/>
      <c r="AK58" s="362"/>
      <c r="AL58" s="362"/>
      <c r="AM58" s="365"/>
      <c r="AN58" s="366"/>
      <c r="AO58" s="367"/>
      <c r="AP58" s="361"/>
      <c r="AQ58" s="362"/>
      <c r="AR58" s="362"/>
      <c r="AS58" s="362"/>
      <c r="BA58" s="58"/>
      <c r="BB58" s="58"/>
      <c r="BC58" s="58"/>
      <c r="BD58" s="58"/>
      <c r="BE58" s="58"/>
      <c r="BF58" s="58"/>
      <c r="BG58" s="109"/>
      <c r="BH58" s="109"/>
      <c r="BI58" s="109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</row>
    <row r="59" spans="1:119" ht="15" customHeight="1">
      <c r="V59" s="92"/>
      <c r="W59" s="102"/>
      <c r="X59" s="102"/>
      <c r="Y59" s="102"/>
      <c r="Z59" s="102"/>
      <c r="AA59" s="102"/>
      <c r="AB59" s="102"/>
      <c r="AC59" s="102"/>
      <c r="AD59" s="102"/>
      <c r="AE59" s="102"/>
      <c r="AI59" s="363"/>
      <c r="AJ59" s="363"/>
      <c r="AK59" s="363"/>
      <c r="AL59" s="363"/>
      <c r="AM59" s="368"/>
      <c r="AN59" s="369"/>
      <c r="AO59" s="370"/>
      <c r="AP59" s="363"/>
      <c r="AQ59" s="363"/>
      <c r="AR59" s="363"/>
      <c r="AS59" s="363"/>
      <c r="BA59" s="58"/>
      <c r="BB59" s="58"/>
      <c r="BC59" s="58"/>
      <c r="BD59" s="58"/>
      <c r="BE59" s="58"/>
      <c r="BF59" s="58"/>
      <c r="BG59" s="109"/>
      <c r="BH59" s="109"/>
      <c r="BI59" s="109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</row>
    <row r="60" spans="1:119" ht="15" customHeight="1">
      <c r="V60" s="92"/>
      <c r="W60" s="102"/>
      <c r="X60" s="102"/>
      <c r="Y60" s="102"/>
      <c r="Z60" s="102"/>
      <c r="AA60" s="102"/>
      <c r="AB60" s="102"/>
      <c r="AC60" s="102"/>
      <c r="AD60" s="102"/>
      <c r="AE60" s="102"/>
      <c r="AI60" s="363"/>
      <c r="AJ60" s="363"/>
      <c r="AK60" s="363"/>
      <c r="AL60" s="363"/>
      <c r="AM60" s="368"/>
      <c r="AN60" s="369"/>
      <c r="AO60" s="370"/>
      <c r="AP60" s="363"/>
      <c r="AQ60" s="363"/>
      <c r="AR60" s="363"/>
      <c r="AS60" s="363"/>
      <c r="BA60" s="58"/>
      <c r="BB60" s="58"/>
      <c r="BC60" s="58"/>
      <c r="BD60" s="58"/>
      <c r="BE60" s="58"/>
      <c r="BF60" s="58"/>
      <c r="BG60" s="109"/>
      <c r="BH60" s="109"/>
      <c r="BI60" s="109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</row>
    <row r="61" spans="1:119" ht="15" customHeight="1">
      <c r="V61" s="92"/>
      <c r="W61" s="102"/>
      <c r="X61" s="102"/>
      <c r="Y61" s="102"/>
      <c r="Z61" s="102"/>
      <c r="AA61" s="102"/>
      <c r="AB61" s="102"/>
      <c r="AC61" s="102"/>
      <c r="AD61" s="102"/>
      <c r="AE61" s="102"/>
      <c r="AI61" s="364"/>
      <c r="AJ61" s="364"/>
      <c r="AK61" s="364"/>
      <c r="AL61" s="364"/>
      <c r="AM61" s="371"/>
      <c r="AN61" s="372"/>
      <c r="AO61" s="373"/>
      <c r="AP61" s="364"/>
      <c r="AQ61" s="364"/>
      <c r="AR61" s="364"/>
      <c r="AS61" s="364"/>
      <c r="BA61" s="58"/>
      <c r="BB61" s="58"/>
      <c r="BC61" s="58"/>
      <c r="BD61" s="58"/>
      <c r="BE61" s="58"/>
      <c r="BF61" s="58"/>
      <c r="BG61" s="109"/>
      <c r="BH61" s="109"/>
      <c r="BI61" s="109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</row>
    <row r="62" spans="1:119" ht="15" customHeight="1">
      <c r="V62" s="92"/>
      <c r="W62" s="102"/>
      <c r="X62" s="102"/>
      <c r="Y62" s="102"/>
      <c r="Z62" s="102"/>
      <c r="AA62" s="102"/>
      <c r="AB62" s="102"/>
      <c r="AC62" s="102"/>
      <c r="AD62" s="102"/>
      <c r="AE62" s="102"/>
      <c r="AJ62" s="93"/>
      <c r="AK62" s="93"/>
      <c r="AL62" s="93"/>
      <c r="AM62" s="102"/>
      <c r="AN62" s="102"/>
      <c r="AO62" s="102"/>
      <c r="AP62" s="93"/>
      <c r="AQ62" s="93"/>
      <c r="AR62" s="228"/>
      <c r="AS62" s="228"/>
      <c r="BA62" s="58"/>
      <c r="BB62" s="58"/>
      <c r="BC62" s="58"/>
      <c r="BD62" s="58"/>
      <c r="BE62" s="58"/>
      <c r="BF62" s="58"/>
      <c r="BG62" s="109"/>
      <c r="BH62" s="109"/>
      <c r="BI62" s="109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</row>
    <row r="63" spans="1:119" s="32" customFormat="1" ht="15.75" customHeight="1">
      <c r="A63" s="103"/>
      <c r="B63" s="103"/>
      <c r="C63" s="103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323" t="s">
        <v>87</v>
      </c>
      <c r="O63" s="323"/>
      <c r="P63" s="323"/>
      <c r="Q63" s="105"/>
      <c r="R63" s="104"/>
      <c r="S63" s="104"/>
      <c r="T63" s="104"/>
      <c r="U63" s="104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  <c r="AK63" s="102"/>
      <c r="AL63" s="102"/>
      <c r="AM63" s="102"/>
      <c r="AN63" s="102"/>
      <c r="AO63" s="102"/>
      <c r="AP63" s="34"/>
      <c r="AQ63" s="34"/>
      <c r="AR63" s="34"/>
      <c r="AS63" s="33"/>
      <c r="AT63" s="154"/>
      <c r="AU63" s="154"/>
      <c r="AV63" s="124"/>
      <c r="AW63" s="124"/>
      <c r="AX63" s="124"/>
      <c r="AY63" s="124"/>
      <c r="AZ63" s="124"/>
      <c r="BA63" s="125"/>
      <c r="BB63" s="125"/>
      <c r="BC63" s="125"/>
      <c r="BD63" s="125"/>
      <c r="BE63" s="126"/>
      <c r="BF63" s="126"/>
      <c r="BG63" s="126"/>
      <c r="BH63" s="126"/>
      <c r="BI63" s="126"/>
      <c r="BJ63" s="126"/>
      <c r="BK63" s="106"/>
      <c r="BL63" s="106"/>
      <c r="BM63" s="106"/>
      <c r="BN63" s="106"/>
      <c r="BO63" s="106"/>
      <c r="BP63" s="106"/>
      <c r="BQ63" s="149"/>
      <c r="BR63" s="149"/>
      <c r="BS63" s="106"/>
      <c r="BT63" s="106"/>
      <c r="BU63" s="106"/>
      <c r="BV63" s="127"/>
      <c r="BW63" s="127"/>
      <c r="BX63" s="127"/>
      <c r="BY63" s="106"/>
      <c r="BZ63" s="106"/>
      <c r="CA63" s="106"/>
      <c r="CB63" s="106"/>
      <c r="CC63" s="106"/>
      <c r="CD63" s="106"/>
      <c r="CE63" s="150"/>
      <c r="CF63" s="150"/>
      <c r="CG63" s="150"/>
      <c r="CH63" s="150"/>
      <c r="CI63" s="150"/>
      <c r="CJ63" s="150"/>
      <c r="CK63" s="106"/>
      <c r="CL63" s="106"/>
      <c r="CM63" s="106"/>
      <c r="CN63" s="106"/>
      <c r="CO63" s="106"/>
      <c r="CP63" s="106"/>
      <c r="CQ63" s="106"/>
      <c r="CR63" s="106"/>
      <c r="CS63" s="106"/>
      <c r="CT63" s="106"/>
      <c r="CU63" s="106"/>
      <c r="CV63" s="106"/>
      <c r="CW63" s="106"/>
      <c r="CX63" s="106"/>
      <c r="CY63" s="106"/>
      <c r="CZ63" s="106"/>
      <c r="DA63" s="106"/>
      <c r="DB63" s="106"/>
      <c r="DC63" s="106"/>
      <c r="DD63" s="106"/>
      <c r="DE63" s="106"/>
      <c r="DF63" s="106"/>
      <c r="DG63" s="106"/>
      <c r="DH63" s="106"/>
      <c r="DI63" s="106"/>
      <c r="DJ63" s="106"/>
      <c r="DK63" s="106"/>
      <c r="DL63" s="106"/>
      <c r="DM63" s="106"/>
      <c r="DN63" s="106"/>
      <c r="DO63" s="106"/>
    </row>
    <row r="64" spans="1:119" s="32" customFormat="1" ht="15.75" customHeight="1">
      <c r="A64" s="106"/>
      <c r="B64" s="106"/>
      <c r="C64" s="106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323"/>
      <c r="O64" s="323"/>
      <c r="P64" s="323"/>
      <c r="Q64" s="105"/>
      <c r="R64" s="44"/>
      <c r="S64" s="44"/>
      <c r="T64" s="44"/>
      <c r="U64" s="44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102"/>
      <c r="AL64" s="102"/>
      <c r="AM64" s="44"/>
      <c r="AN64" s="127"/>
      <c r="AO64" s="127"/>
      <c r="AP64" s="45"/>
      <c r="AQ64" s="45"/>
      <c r="AR64" s="45"/>
      <c r="AS64" s="44"/>
      <c r="AT64" s="46"/>
      <c r="AU64" s="46"/>
      <c r="AV64" s="47"/>
      <c r="AW64" s="47"/>
      <c r="AX64" s="47"/>
      <c r="AY64" s="47"/>
      <c r="AZ64" s="47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4"/>
      <c r="BL64" s="106"/>
      <c r="BM64" s="106"/>
      <c r="BN64" s="106"/>
      <c r="BO64" s="106"/>
      <c r="BP64" s="106"/>
      <c r="BQ64" s="149"/>
      <c r="BR64" s="149"/>
      <c r="BS64" s="106"/>
      <c r="BT64" s="106"/>
      <c r="BU64" s="106"/>
      <c r="BV64" s="127"/>
      <c r="BW64" s="127"/>
      <c r="BX64" s="127"/>
      <c r="BY64" s="106"/>
      <c r="BZ64" s="106"/>
      <c r="CA64" s="106"/>
      <c r="CB64" s="106"/>
      <c r="CC64" s="106"/>
      <c r="CD64" s="106"/>
      <c r="CE64" s="150"/>
      <c r="CF64" s="150"/>
      <c r="CG64" s="150"/>
      <c r="CH64" s="150"/>
      <c r="CI64" s="150"/>
      <c r="CJ64" s="150"/>
      <c r="CK64" s="106"/>
      <c r="CL64" s="106"/>
      <c r="CM64" s="106"/>
      <c r="CN64" s="106"/>
      <c r="CO64" s="106"/>
      <c r="CP64" s="106"/>
      <c r="CQ64" s="106"/>
      <c r="CR64" s="106"/>
      <c r="CS64" s="106"/>
      <c r="CT64" s="106"/>
      <c r="CU64" s="106"/>
      <c r="CV64" s="106"/>
      <c r="CW64" s="106"/>
      <c r="CX64" s="106"/>
      <c r="CY64" s="106"/>
      <c r="CZ64" s="106"/>
      <c r="DA64" s="106"/>
      <c r="DB64" s="106"/>
      <c r="DC64" s="106"/>
      <c r="DD64" s="106"/>
      <c r="DE64" s="106"/>
      <c r="DF64" s="106"/>
      <c r="DG64" s="106"/>
      <c r="DH64" s="106"/>
      <c r="DI64" s="106"/>
      <c r="DJ64" s="106"/>
      <c r="DK64" s="106"/>
      <c r="DL64" s="106"/>
      <c r="DM64" s="106"/>
      <c r="DN64" s="106"/>
      <c r="DO64" s="106"/>
    </row>
    <row r="65" spans="5:92" ht="38.25" customHeight="1">
      <c r="E65" s="4"/>
      <c r="F65" s="4"/>
      <c r="G65" s="108"/>
      <c r="H65" s="100"/>
      <c r="I65" s="100"/>
      <c r="J65" s="100"/>
      <c r="BA65" s="58"/>
      <c r="BB65" s="58"/>
      <c r="BC65" s="58"/>
      <c r="BD65" s="58"/>
      <c r="BE65" s="58"/>
      <c r="BF65" s="58"/>
      <c r="BG65" s="109"/>
      <c r="BH65" s="109"/>
      <c r="BI65" s="109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</row>
    <row r="66" spans="5:92" ht="18" customHeight="1">
      <c r="BF66" s="151"/>
      <c r="BG66" s="151"/>
      <c r="BH66" s="151"/>
      <c r="BI66" s="15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</row>
    <row r="67" spans="5:92" ht="18" customHeight="1">
      <c r="BF67" s="151"/>
      <c r="BG67" s="151"/>
      <c r="BH67" s="151"/>
      <c r="BI67" s="15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</row>
    <row r="68" spans="5:92" ht="18" customHeight="1">
      <c r="BF68" s="151"/>
      <c r="BG68" s="151"/>
      <c r="BH68" s="151"/>
      <c r="BI68" s="15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</row>
    <row r="69" spans="5:92" ht="18" customHeight="1">
      <c r="BF69" s="151"/>
      <c r="BG69" s="151"/>
      <c r="BH69" s="151"/>
      <c r="BI69" s="15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</row>
    <row r="70" spans="5:92" ht="18" customHeight="1">
      <c r="BF70" s="151"/>
      <c r="BG70" s="151"/>
      <c r="BH70" s="151"/>
      <c r="BI70" s="15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</row>
    <row r="71" spans="5:92" ht="18" customHeight="1">
      <c r="BF71" s="151"/>
      <c r="BG71" s="151"/>
      <c r="BH71" s="151"/>
      <c r="BI71" s="15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</row>
    <row r="72" spans="5:92" ht="18" customHeight="1">
      <c r="BF72" s="151"/>
      <c r="BG72" s="151"/>
      <c r="BH72" s="151"/>
      <c r="BI72" s="15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</row>
    <row r="73" spans="5:92" ht="18" customHeight="1">
      <c r="BF73" s="151"/>
      <c r="BG73" s="151"/>
      <c r="BH73" s="151"/>
      <c r="BI73" s="15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</row>
    <row r="74" spans="5:92" ht="18" customHeight="1">
      <c r="BF74" s="151"/>
      <c r="BG74" s="151"/>
      <c r="BH74" s="151"/>
      <c r="BI74" s="15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</row>
    <row r="75" spans="5:92" ht="18" customHeight="1">
      <c r="BF75" s="151"/>
      <c r="BG75" s="151"/>
      <c r="BH75" s="151"/>
      <c r="BI75" s="15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</row>
    <row r="76" spans="5:92" ht="18" customHeight="1">
      <c r="BF76" s="151"/>
      <c r="BG76" s="151"/>
      <c r="BH76" s="151"/>
      <c r="BI76" s="15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</row>
    <row r="77" spans="5:92" ht="18" customHeight="1">
      <c r="BF77" s="151"/>
      <c r="BG77" s="151"/>
      <c r="BH77" s="151"/>
      <c r="BI77" s="15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</row>
    <row r="78" spans="5:92" ht="18" customHeight="1">
      <c r="BF78" s="151"/>
      <c r="BG78" s="151"/>
      <c r="BH78" s="151"/>
      <c r="BI78" s="15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</row>
    <row r="79" spans="5:92" ht="18" customHeight="1">
      <c r="BF79" s="151"/>
      <c r="BG79" s="151"/>
      <c r="BH79" s="151"/>
      <c r="BI79" s="15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</row>
    <row r="80" spans="5:92" ht="18" customHeight="1">
      <c r="BF80" s="151"/>
      <c r="BG80" s="151"/>
      <c r="BH80" s="151"/>
      <c r="BI80" s="15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</row>
    <row r="81" spans="58:92" ht="18" customHeight="1">
      <c r="BF81" s="151"/>
      <c r="BG81" s="151"/>
      <c r="BH81" s="151"/>
      <c r="BI81" s="15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</row>
    <row r="82" spans="58:92" ht="18" customHeight="1">
      <c r="BF82" s="151"/>
      <c r="BG82" s="151"/>
      <c r="BH82" s="151"/>
      <c r="BI82" s="15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</row>
    <row r="83" spans="58:92" ht="18" customHeight="1">
      <c r="BF83" s="151"/>
      <c r="BG83" s="151"/>
      <c r="BH83" s="151"/>
      <c r="BI83" s="15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</row>
    <row r="84" spans="58:92" ht="18" customHeight="1">
      <c r="BF84" s="151"/>
      <c r="BG84" s="151"/>
      <c r="BH84" s="151"/>
      <c r="BI84" s="15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</row>
    <row r="85" spans="58:92" ht="18" customHeight="1">
      <c r="BF85" s="151"/>
      <c r="BG85" s="151"/>
      <c r="BH85" s="151"/>
      <c r="BI85" s="15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</row>
    <row r="86" spans="58:92" ht="18" customHeight="1">
      <c r="BF86" s="151"/>
      <c r="BG86" s="151"/>
      <c r="BH86" s="151"/>
      <c r="BI86" s="15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</row>
    <row r="87" spans="58:92" ht="18" customHeight="1">
      <c r="BF87" s="151"/>
      <c r="BG87" s="151"/>
      <c r="BH87" s="151"/>
      <c r="BI87" s="15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</row>
    <row r="88" spans="58:92" ht="18" customHeight="1">
      <c r="BF88" s="151"/>
      <c r="BG88" s="151"/>
      <c r="BH88" s="151"/>
      <c r="BI88" s="15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</row>
    <row r="89" spans="58:92" ht="18" customHeight="1">
      <c r="BF89" s="151"/>
      <c r="BG89" s="151"/>
      <c r="BH89" s="151"/>
      <c r="BI89" s="15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</row>
    <row r="90" spans="58:92" ht="18" customHeight="1">
      <c r="BF90" s="151"/>
      <c r="BG90" s="151"/>
      <c r="BH90" s="151"/>
      <c r="BI90" s="15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</row>
    <row r="91" spans="58:92" ht="18" customHeight="1">
      <c r="BF91" s="151"/>
      <c r="BG91" s="151"/>
      <c r="BH91" s="151"/>
      <c r="BI91" s="15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</row>
    <row r="92" spans="58:92" ht="18" customHeight="1">
      <c r="BF92" s="151"/>
      <c r="BG92" s="151"/>
      <c r="BH92" s="151"/>
      <c r="BI92" s="15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</row>
    <row r="93" spans="58:92" ht="18" customHeight="1">
      <c r="BF93" s="151"/>
      <c r="BG93" s="151"/>
      <c r="BH93" s="151"/>
      <c r="BI93" s="15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</row>
    <row r="94" spans="58:92" ht="18" customHeight="1">
      <c r="BF94" s="151"/>
      <c r="BG94" s="151"/>
      <c r="BH94" s="151"/>
      <c r="BI94" s="15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</row>
    <row r="95" spans="58:92" ht="18" customHeight="1">
      <c r="BF95" s="151"/>
      <c r="BG95" s="151"/>
      <c r="BH95" s="151"/>
      <c r="BI95" s="15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</row>
    <row r="96" spans="58:92" ht="18" customHeight="1">
      <c r="BF96" s="151"/>
      <c r="BG96" s="151"/>
      <c r="BH96" s="151"/>
      <c r="BI96" s="15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</row>
    <row r="97" spans="58:92" ht="18" customHeight="1">
      <c r="BF97" s="151"/>
      <c r="BG97" s="151"/>
      <c r="BH97" s="151"/>
      <c r="BI97" s="15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</row>
    <row r="98" spans="58:92" ht="18" customHeight="1">
      <c r="BF98" s="151"/>
      <c r="BG98" s="151"/>
      <c r="BH98" s="151"/>
      <c r="BI98" s="15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</row>
    <row r="99" spans="58:92" ht="18" customHeight="1">
      <c r="BF99" s="151"/>
      <c r="BG99" s="151"/>
      <c r="BH99" s="151"/>
      <c r="BI99" s="15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</row>
    <row r="100" spans="58:92" ht="18" customHeight="1">
      <c r="BF100" s="151"/>
      <c r="BG100" s="151"/>
      <c r="BH100" s="151"/>
      <c r="BI100" s="15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</row>
    <row r="101" spans="58:92" ht="18" customHeight="1">
      <c r="BF101" s="151"/>
      <c r="BG101" s="151"/>
      <c r="BH101" s="151"/>
      <c r="BI101" s="15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</row>
    <row r="102" spans="58:92" ht="18" customHeight="1">
      <c r="BF102" s="151"/>
      <c r="BG102" s="151"/>
      <c r="BH102" s="151"/>
      <c r="BI102" s="15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</row>
    <row r="103" spans="58:92" ht="18" customHeight="1">
      <c r="BF103" s="151"/>
      <c r="BG103" s="151"/>
      <c r="BH103" s="151"/>
      <c r="BI103" s="15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</row>
    <row r="104" spans="58:92" ht="18" customHeight="1">
      <c r="BF104" s="151"/>
      <c r="BG104" s="151"/>
      <c r="BH104" s="151"/>
      <c r="BI104" s="15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</row>
    <row r="105" spans="58:92" ht="18" customHeight="1">
      <c r="BF105" s="151"/>
      <c r="BG105" s="151"/>
      <c r="BH105" s="151"/>
      <c r="BI105" s="15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</row>
    <row r="106" spans="58:92" ht="18" customHeight="1">
      <c r="BF106" s="151"/>
      <c r="BG106" s="151"/>
      <c r="BH106" s="151"/>
      <c r="BI106" s="15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</row>
    <row r="107" spans="58:92" ht="18" customHeight="1">
      <c r="BF107" s="151"/>
      <c r="BG107" s="151"/>
      <c r="BH107" s="151"/>
      <c r="BI107" s="15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</row>
    <row r="108" spans="58:92" ht="18" customHeight="1">
      <c r="BF108" s="151"/>
      <c r="BG108" s="151"/>
      <c r="BH108" s="151"/>
      <c r="BI108" s="15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</row>
    <row r="109" spans="58:92" ht="18" customHeight="1">
      <c r="BF109" s="151"/>
      <c r="BG109" s="151"/>
      <c r="BH109" s="151"/>
      <c r="BI109" s="15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</row>
    <row r="110" spans="58:92" ht="18" customHeight="1">
      <c r="BF110" s="151"/>
      <c r="BG110" s="151"/>
      <c r="BH110" s="151"/>
      <c r="BI110" s="15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</row>
    <row r="111" spans="58:92" ht="18" customHeight="1">
      <c r="BF111" s="151"/>
      <c r="BG111" s="151"/>
      <c r="BH111" s="151"/>
      <c r="BI111" s="15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</row>
    <row r="112" spans="58:92" ht="18" customHeight="1">
      <c r="BF112" s="151"/>
      <c r="BG112" s="151"/>
      <c r="BH112" s="151"/>
      <c r="BI112" s="15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</row>
    <row r="113" spans="58:92" ht="18" customHeight="1">
      <c r="BF113" s="151"/>
      <c r="BG113" s="151"/>
      <c r="BH113" s="151"/>
      <c r="BI113" s="15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</row>
    <row r="114" spans="58:92" ht="18" customHeight="1">
      <c r="BF114" s="151"/>
      <c r="BG114" s="151"/>
      <c r="BH114" s="151"/>
      <c r="BI114" s="15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</row>
    <row r="115" spans="58:92" ht="18" customHeight="1">
      <c r="BF115" s="151"/>
      <c r="BG115" s="151"/>
      <c r="BH115" s="151"/>
      <c r="BI115" s="15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</row>
    <row r="116" spans="58:92" ht="18" customHeight="1">
      <c r="BF116" s="151"/>
      <c r="BG116" s="151"/>
      <c r="BH116" s="151"/>
      <c r="BI116" s="15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</row>
    <row r="117" spans="58:92" ht="18" customHeight="1">
      <c r="BF117" s="151"/>
      <c r="BG117" s="151"/>
      <c r="BH117" s="151"/>
      <c r="BI117" s="15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</row>
    <row r="118" spans="58:92" ht="18" customHeight="1">
      <c r="BF118" s="151"/>
      <c r="BG118" s="151"/>
      <c r="BH118" s="151"/>
      <c r="BI118" s="15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</row>
    <row r="119" spans="58:92" ht="18" customHeight="1">
      <c r="BF119" s="151"/>
      <c r="BG119" s="151"/>
      <c r="BH119" s="151"/>
      <c r="BI119" s="15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</row>
    <row r="120" spans="58:92" ht="18" customHeight="1">
      <c r="BF120" s="151"/>
      <c r="BG120" s="151"/>
      <c r="BH120" s="151"/>
      <c r="BI120" s="15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</row>
    <row r="121" spans="58:92" ht="18" customHeight="1">
      <c r="BF121" s="151"/>
      <c r="BG121" s="151"/>
      <c r="BH121" s="151"/>
      <c r="BI121" s="15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</row>
    <row r="122" spans="58:92" ht="18" customHeight="1">
      <c r="BF122" s="151"/>
      <c r="BG122" s="151"/>
      <c r="BH122" s="151"/>
      <c r="BI122" s="15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</row>
    <row r="123" spans="58:92" ht="18" customHeight="1">
      <c r="BF123" s="151"/>
      <c r="BG123" s="151"/>
      <c r="BH123" s="151"/>
      <c r="BI123" s="15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</row>
    <row r="124" spans="58:92" ht="18" customHeight="1">
      <c r="BF124" s="151"/>
      <c r="BG124" s="151"/>
      <c r="BH124" s="151"/>
      <c r="BI124" s="15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</row>
    <row r="125" spans="58:92" ht="18" customHeight="1">
      <c r="BF125" s="151"/>
      <c r="BG125" s="151"/>
      <c r="BH125" s="151"/>
      <c r="BI125" s="15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</row>
    <row r="126" spans="58:92" ht="18" customHeight="1">
      <c r="BF126" s="151"/>
      <c r="BG126" s="151"/>
      <c r="BH126" s="151"/>
      <c r="BI126" s="15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</row>
    <row r="127" spans="58:92" ht="18" customHeight="1">
      <c r="BF127" s="151"/>
      <c r="BG127" s="151"/>
      <c r="BH127" s="151"/>
      <c r="BI127" s="15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</row>
    <row r="128" spans="58:92" ht="18" customHeight="1">
      <c r="BF128" s="151"/>
      <c r="BG128" s="151"/>
      <c r="BH128" s="151"/>
      <c r="BI128" s="15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</row>
    <row r="129" spans="58:92" ht="18" customHeight="1">
      <c r="BF129" s="151"/>
      <c r="BG129" s="151"/>
      <c r="BH129" s="151"/>
      <c r="BI129" s="15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</row>
    <row r="130" spans="58:92" ht="18" customHeight="1">
      <c r="BF130" s="151"/>
      <c r="BG130" s="151"/>
      <c r="BH130" s="151"/>
      <c r="BI130" s="15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</row>
    <row r="131" spans="58:92" ht="18" customHeight="1">
      <c r="BF131" s="151"/>
      <c r="BG131" s="151"/>
      <c r="BH131" s="151"/>
      <c r="BI131" s="15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</row>
    <row r="132" spans="58:92" ht="18" customHeight="1">
      <c r="BF132" s="151"/>
      <c r="BG132" s="151"/>
      <c r="BH132" s="151"/>
      <c r="BI132" s="15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</row>
    <row r="133" spans="58:92" ht="18" customHeight="1">
      <c r="BF133" s="151"/>
      <c r="BG133" s="151"/>
      <c r="BH133" s="151"/>
      <c r="BI133" s="15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</row>
    <row r="134" spans="58:92" ht="18" customHeight="1">
      <c r="BF134" s="151"/>
      <c r="BG134" s="151"/>
      <c r="BH134" s="151"/>
      <c r="BI134" s="15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</row>
    <row r="135" spans="58:92" ht="18" customHeight="1">
      <c r="BF135" s="151"/>
      <c r="BG135" s="151"/>
      <c r="BH135" s="151"/>
      <c r="BI135" s="15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</row>
    <row r="136" spans="58:92" ht="18" customHeight="1">
      <c r="BF136" s="151"/>
      <c r="BG136" s="151"/>
      <c r="BH136" s="151"/>
      <c r="BI136" s="15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</row>
    <row r="137" spans="58:92" ht="18" customHeight="1">
      <c r="BF137" s="151"/>
      <c r="BG137" s="151"/>
      <c r="BH137" s="151"/>
      <c r="BI137" s="15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</row>
    <row r="138" spans="58:92" ht="18" customHeight="1">
      <c r="BF138" s="151"/>
      <c r="BG138" s="151"/>
      <c r="BH138" s="151"/>
      <c r="BI138" s="15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</row>
    <row r="139" spans="58:92" ht="18" customHeight="1">
      <c r="BF139" s="151"/>
      <c r="BG139" s="151"/>
      <c r="BH139" s="151"/>
      <c r="BI139" s="15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</row>
    <row r="140" spans="58:92" ht="18" customHeight="1">
      <c r="BF140" s="151"/>
      <c r="BG140" s="151"/>
      <c r="BH140" s="151"/>
      <c r="BI140" s="15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</row>
    <row r="141" spans="58:92" ht="18" customHeight="1">
      <c r="BF141" s="151"/>
      <c r="BG141" s="151"/>
      <c r="BH141" s="151"/>
      <c r="BI141" s="15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</row>
    <row r="142" spans="58:92" ht="18" customHeight="1">
      <c r="BF142" s="151"/>
      <c r="BG142" s="151"/>
      <c r="BH142" s="151"/>
      <c r="BI142" s="15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</row>
    <row r="143" spans="58:92" ht="18" customHeight="1">
      <c r="BF143" s="151"/>
      <c r="BG143" s="151"/>
      <c r="BH143" s="151"/>
      <c r="BI143" s="15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</row>
    <row r="144" spans="58:92" ht="18" customHeight="1">
      <c r="BF144" s="151"/>
      <c r="BG144" s="151"/>
      <c r="BH144" s="151"/>
      <c r="BI144" s="15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</row>
    <row r="145" spans="58:92" ht="18" customHeight="1">
      <c r="BF145" s="151"/>
      <c r="BG145" s="151"/>
      <c r="BH145" s="151"/>
      <c r="BI145" s="15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</row>
    <row r="146" spans="58:92" ht="18" customHeight="1">
      <c r="BF146" s="151"/>
      <c r="BG146" s="151"/>
      <c r="BH146" s="151"/>
      <c r="BI146" s="15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</row>
    <row r="147" spans="58:92" ht="18" customHeight="1">
      <c r="BF147" s="151"/>
      <c r="BG147" s="151"/>
      <c r="BH147" s="151"/>
      <c r="BI147" s="15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</row>
    <row r="148" spans="58:92" ht="18" customHeight="1">
      <c r="BF148" s="151"/>
      <c r="BG148" s="151"/>
      <c r="BH148" s="151"/>
      <c r="BI148" s="15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</row>
    <row r="149" spans="58:92" ht="18" customHeight="1">
      <c r="BF149" s="151"/>
      <c r="BG149" s="151"/>
      <c r="BH149" s="151"/>
      <c r="BI149" s="15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</row>
    <row r="150" spans="58:92" ht="18" customHeight="1">
      <c r="BF150" s="151"/>
      <c r="BG150" s="151"/>
      <c r="BH150" s="151"/>
      <c r="BI150" s="15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</row>
    <row r="151" spans="58:92" ht="18" customHeight="1">
      <c r="BF151" s="151"/>
      <c r="BG151" s="151"/>
      <c r="BH151" s="151"/>
      <c r="BI151" s="15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</row>
    <row r="152" spans="58:92" ht="18" customHeight="1">
      <c r="BF152" s="151"/>
      <c r="BG152" s="151"/>
      <c r="BH152" s="151"/>
      <c r="BI152" s="15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</row>
    <row r="153" spans="58:92" ht="18" customHeight="1">
      <c r="BF153" s="151"/>
      <c r="BG153" s="151"/>
      <c r="BH153" s="151"/>
      <c r="BI153" s="15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</row>
    <row r="154" spans="58:92" ht="18" customHeight="1">
      <c r="BF154" s="151"/>
      <c r="BG154" s="151"/>
      <c r="BH154" s="151"/>
      <c r="BI154" s="15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</row>
    <row r="155" spans="58:92" ht="18" customHeight="1">
      <c r="BF155" s="151"/>
      <c r="BG155" s="151"/>
      <c r="BH155" s="151"/>
      <c r="BI155" s="15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</row>
    <row r="156" spans="58:92" ht="18" customHeight="1">
      <c r="BF156" s="151"/>
      <c r="BG156" s="151"/>
      <c r="BH156" s="151"/>
      <c r="BI156" s="15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</row>
    <row r="157" spans="58:92" ht="18" customHeight="1">
      <c r="BF157" s="151"/>
      <c r="BG157" s="151"/>
      <c r="BH157" s="151"/>
      <c r="BI157" s="15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</row>
    <row r="158" spans="58:92" ht="18" customHeight="1">
      <c r="BF158" s="151"/>
      <c r="BG158" s="151"/>
      <c r="BH158" s="151"/>
      <c r="BI158" s="15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</row>
    <row r="159" spans="58:92" ht="18" customHeight="1">
      <c r="BF159" s="151"/>
      <c r="BG159" s="151"/>
      <c r="BH159" s="151"/>
      <c r="BI159" s="15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</row>
    <row r="160" spans="58:92" ht="18" customHeight="1">
      <c r="BF160" s="151"/>
      <c r="BG160" s="151"/>
      <c r="BH160" s="151"/>
      <c r="BI160" s="15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</row>
    <row r="161" spans="58:92" ht="18" customHeight="1">
      <c r="BF161" s="151"/>
      <c r="BG161" s="151"/>
      <c r="BH161" s="151"/>
      <c r="BI161" s="15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</row>
    <row r="162" spans="58:92" ht="18" customHeight="1">
      <c r="BF162" s="151"/>
      <c r="BG162" s="151"/>
      <c r="BH162" s="151"/>
      <c r="BI162" s="15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</row>
    <row r="163" spans="58:92" ht="18" customHeight="1">
      <c r="BF163" s="151"/>
      <c r="BG163" s="151"/>
      <c r="BH163" s="151"/>
      <c r="BI163" s="15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</row>
    <row r="164" spans="58:92" ht="18" customHeight="1">
      <c r="BF164" s="151"/>
      <c r="BG164" s="151"/>
      <c r="BH164" s="151"/>
      <c r="BI164" s="15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</row>
    <row r="165" spans="58:92" ht="18" customHeight="1">
      <c r="BF165" s="151"/>
      <c r="BG165" s="151"/>
      <c r="BH165" s="151"/>
      <c r="BI165" s="15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</row>
    <row r="166" spans="58:92" ht="18" customHeight="1">
      <c r="BF166" s="151"/>
      <c r="BG166" s="151"/>
      <c r="BH166" s="151"/>
      <c r="BI166" s="15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</row>
    <row r="167" spans="58:92" ht="18" customHeight="1">
      <c r="BF167" s="151"/>
      <c r="BG167" s="151"/>
      <c r="BH167" s="151"/>
      <c r="BI167" s="15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</row>
    <row r="168" spans="58:92" ht="18" customHeight="1">
      <c r="BF168" s="151"/>
      <c r="BG168" s="151"/>
      <c r="BH168" s="151"/>
      <c r="BI168" s="15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</row>
    <row r="169" spans="58:92" ht="18" customHeight="1">
      <c r="BF169" s="151"/>
      <c r="BG169" s="151"/>
      <c r="BH169" s="151"/>
      <c r="BI169" s="15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</row>
    <row r="170" spans="58:92" ht="18" customHeight="1">
      <c r="BF170" s="151"/>
      <c r="BG170" s="151"/>
      <c r="BH170" s="151"/>
      <c r="BI170" s="15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</row>
    <row r="171" spans="58:92" ht="18" customHeight="1">
      <c r="BF171" s="151"/>
      <c r="BG171" s="151"/>
      <c r="BH171" s="151"/>
      <c r="BI171" s="15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</row>
    <row r="172" spans="58:92" ht="18" customHeight="1">
      <c r="BF172" s="151"/>
      <c r="BG172" s="151"/>
      <c r="BH172" s="151"/>
      <c r="BI172" s="15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</row>
    <row r="173" spans="58:92" ht="18" customHeight="1">
      <c r="BF173" s="151"/>
      <c r="BG173" s="151"/>
      <c r="BH173" s="151"/>
      <c r="BI173" s="15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</row>
    <row r="174" spans="58:92" ht="18" customHeight="1">
      <c r="BF174" s="151"/>
      <c r="BG174" s="151"/>
      <c r="BH174" s="151"/>
      <c r="BI174" s="15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</row>
    <row r="175" spans="58:92" ht="18" customHeight="1">
      <c r="BF175" s="151"/>
      <c r="BG175" s="151"/>
      <c r="BH175" s="151"/>
      <c r="BI175" s="15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</row>
    <row r="176" spans="58:92" ht="18" customHeight="1">
      <c r="BF176" s="151"/>
      <c r="BG176" s="151"/>
      <c r="BH176" s="151"/>
      <c r="BI176" s="15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</row>
    <row r="177" spans="58:92" ht="18" customHeight="1">
      <c r="BF177" s="151"/>
      <c r="BG177" s="151"/>
      <c r="BH177" s="151"/>
      <c r="BI177" s="15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</row>
    <row r="178" spans="58:92" ht="18" customHeight="1">
      <c r="BF178" s="151"/>
      <c r="BG178" s="151"/>
      <c r="BH178" s="151"/>
      <c r="BI178" s="15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</row>
    <row r="179" spans="58:92" ht="18" customHeight="1">
      <c r="BF179" s="151"/>
      <c r="BG179" s="151"/>
      <c r="BH179" s="151"/>
      <c r="BI179" s="15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</row>
    <row r="180" spans="58:92" ht="18" customHeight="1">
      <c r="BF180" s="151"/>
      <c r="BG180" s="151"/>
      <c r="BH180" s="151"/>
      <c r="BI180" s="15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</row>
    <row r="181" spans="58:92" ht="18" customHeight="1">
      <c r="BF181" s="151"/>
      <c r="BG181" s="151"/>
      <c r="BH181" s="151"/>
      <c r="BI181" s="15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</row>
    <row r="182" spans="58:92" ht="18" customHeight="1">
      <c r="BF182" s="151"/>
      <c r="BG182" s="151"/>
      <c r="BH182" s="151"/>
      <c r="BI182" s="15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</row>
    <row r="183" spans="58:92" ht="18" customHeight="1">
      <c r="BF183" s="151"/>
      <c r="BG183" s="151"/>
      <c r="BH183" s="151"/>
      <c r="BI183" s="15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</row>
    <row r="184" spans="58:92" ht="18" customHeight="1">
      <c r="BF184" s="151"/>
      <c r="BG184" s="151"/>
      <c r="BH184" s="151"/>
      <c r="BI184" s="15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</row>
    <row r="185" spans="58:92" ht="18" customHeight="1">
      <c r="BF185" s="151"/>
      <c r="BG185" s="151"/>
      <c r="BH185" s="151"/>
      <c r="BI185" s="15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</row>
    <row r="186" spans="58:92" ht="18" customHeight="1">
      <c r="BF186" s="151"/>
      <c r="BG186" s="151"/>
      <c r="BH186" s="151"/>
      <c r="BI186" s="15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</row>
    <row r="187" spans="58:92" ht="18" customHeight="1">
      <c r="BF187" s="151"/>
      <c r="BG187" s="151"/>
      <c r="BH187" s="151"/>
      <c r="BI187" s="15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</row>
    <row r="188" spans="58:92" ht="18" customHeight="1">
      <c r="BF188" s="151"/>
      <c r="BG188" s="151"/>
      <c r="BH188" s="151"/>
      <c r="BI188" s="15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</row>
    <row r="189" spans="58:92" ht="18" customHeight="1">
      <c r="BF189" s="151"/>
      <c r="BG189" s="151"/>
      <c r="BH189" s="151"/>
      <c r="BI189" s="15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</row>
    <row r="190" spans="58:92" ht="18" customHeight="1">
      <c r="BF190" s="151"/>
      <c r="BG190" s="151"/>
      <c r="BH190" s="151"/>
      <c r="BI190" s="15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</row>
    <row r="191" spans="58:92" ht="18" customHeight="1">
      <c r="BF191" s="151"/>
      <c r="BG191" s="151"/>
      <c r="BH191" s="151"/>
      <c r="BI191" s="15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</row>
  </sheetData>
  <sheetProtection password="C6B9" sheet="1" objects="1" scenarios="1"/>
  <protectedRanges>
    <protectedRange password="C6B9" sqref="AR4:AS4 AO4 G6:G7 S6:S7 AA7 AC6:AC7 W7 A9:AS12 A13:F43 V45 V46:W46 X45 S13:AF43 M49 A48:L51 M50:N51 M48:AM48 AM49 O49:AL51 AM51 AM50:AN50 A52:M52 AO48:AS52 O52:AM52 T45:U46 Y45:AS46 A45:I46 P46 L45:N46 Q45:Q46 O45:P45" name="範囲1"/>
  </protectedRanges>
  <dataConsolidate/>
  <mergeCells count="525">
    <mergeCell ref="AI58:AL61"/>
    <mergeCell ref="AM58:AO61"/>
    <mergeCell ref="AP58:AS61"/>
    <mergeCell ref="AI57:AL57"/>
    <mergeCell ref="AM57:AO57"/>
    <mergeCell ref="AP57:AS57"/>
    <mergeCell ref="AI55:AL55"/>
    <mergeCell ref="AM45:AS45"/>
    <mergeCell ref="AM46:AS46"/>
    <mergeCell ref="P46:S46"/>
    <mergeCell ref="A45:E45"/>
    <mergeCell ref="A46:E46"/>
    <mergeCell ref="F45:K45"/>
    <mergeCell ref="F46:K46"/>
    <mergeCell ref="L45:S45"/>
    <mergeCell ref="AM55:AO55"/>
    <mergeCell ref="AP55:AS55"/>
    <mergeCell ref="Y45:AF45"/>
    <mergeCell ref="T46:X46"/>
    <mergeCell ref="L46:O46"/>
    <mergeCell ref="Y46:AF46"/>
    <mergeCell ref="AF52:AH52"/>
    <mergeCell ref="AI52:AL52"/>
    <mergeCell ref="X48:AE48"/>
    <mergeCell ref="AB49:AE49"/>
    <mergeCell ref="X49:AA49"/>
    <mergeCell ref="AF48:AL48"/>
    <mergeCell ref="AG45:AL45"/>
    <mergeCell ref="AG46:AL46"/>
    <mergeCell ref="AM51:AS51"/>
    <mergeCell ref="AM52:AN52"/>
    <mergeCell ref="A52:C52"/>
    <mergeCell ref="D52:I52"/>
    <mergeCell ref="J52:L52"/>
    <mergeCell ref="M52:P52"/>
    <mergeCell ref="Q52:S52"/>
    <mergeCell ref="T52:W52"/>
    <mergeCell ref="AB52:AE52"/>
    <mergeCell ref="A48:I48"/>
    <mergeCell ref="A49:C49"/>
    <mergeCell ref="D49:I49"/>
    <mergeCell ref="J48:P48"/>
    <mergeCell ref="J49:L49"/>
    <mergeCell ref="M49:P49"/>
    <mergeCell ref="A51:I51"/>
    <mergeCell ref="J51:P51"/>
    <mergeCell ref="Q51:W51"/>
    <mergeCell ref="X52:AA52"/>
    <mergeCell ref="N63:P64"/>
    <mergeCell ref="T45:X45"/>
    <mergeCell ref="AK24:AS24"/>
    <mergeCell ref="AK25:AS25"/>
    <mergeCell ref="AG17:AH17"/>
    <mergeCell ref="AG20:AH20"/>
    <mergeCell ref="AM48:AS48"/>
    <mergeCell ref="AM49:AN49"/>
    <mergeCell ref="AG26:AH26"/>
    <mergeCell ref="AG32:AH32"/>
    <mergeCell ref="AO52:AS52"/>
    <mergeCell ref="Q48:W48"/>
    <mergeCell ref="AO49:AS49"/>
    <mergeCell ref="T49:W49"/>
    <mergeCell ref="Q49:S49"/>
    <mergeCell ref="AG29:AH29"/>
    <mergeCell ref="AG30:AH30"/>
    <mergeCell ref="AG31:AH31"/>
    <mergeCell ref="AG36:AH36"/>
    <mergeCell ref="AG35:AH35"/>
    <mergeCell ref="AI49:AL49"/>
    <mergeCell ref="AF49:AH49"/>
    <mergeCell ref="X51:AE51"/>
    <mergeCell ref="AF51:AL51"/>
    <mergeCell ref="Y35:AB35"/>
    <mergeCell ref="Y39:AB39"/>
    <mergeCell ref="Y40:AB40"/>
    <mergeCell ref="Y38:AB38"/>
    <mergeCell ref="Y41:AB41"/>
    <mergeCell ref="Y37:AB37"/>
    <mergeCell ref="AC40:AD40"/>
    <mergeCell ref="Y42:AB42"/>
    <mergeCell ref="BI16:BL16"/>
    <mergeCell ref="AX17:BC17"/>
    <mergeCell ref="AK26:AS26"/>
    <mergeCell ref="AK27:AS27"/>
    <mergeCell ref="AK41:AS41"/>
    <mergeCell ref="AK42:AS42"/>
    <mergeCell ref="AI41:AJ41"/>
    <mergeCell ref="AI42:AJ42"/>
    <mergeCell ref="AG33:AH33"/>
    <mergeCell ref="AG34:AH34"/>
    <mergeCell ref="AG27:AH27"/>
    <mergeCell ref="AK20:AS20"/>
    <mergeCell ref="AK23:AS23"/>
    <mergeCell ref="AK22:AS22"/>
    <mergeCell ref="BD17:BG17"/>
    <mergeCell ref="AK19:AS19"/>
    <mergeCell ref="AK37:AS37"/>
    <mergeCell ref="AK38:AS38"/>
    <mergeCell ref="AK29:AS29"/>
    <mergeCell ref="BI17:BL17"/>
    <mergeCell ref="AK39:AS39"/>
    <mergeCell ref="AE39:AF39"/>
    <mergeCell ref="AG37:AH37"/>
    <mergeCell ref="AG38:AH38"/>
    <mergeCell ref="AG39:AH39"/>
    <mergeCell ref="AK17:AS17"/>
    <mergeCell ref="AG18:AH18"/>
    <mergeCell ref="AG19:AH19"/>
    <mergeCell ref="AE20:AF20"/>
    <mergeCell ref="AE23:AF23"/>
    <mergeCell ref="AI39:AJ39"/>
    <mergeCell ref="AK21:AS21"/>
    <mergeCell ref="AK18:AS18"/>
    <mergeCell ref="AK28:AS28"/>
    <mergeCell ref="AI23:AJ23"/>
    <mergeCell ref="AI24:AJ24"/>
    <mergeCell ref="AK30:AS30"/>
    <mergeCell ref="AK31:AS31"/>
    <mergeCell ref="AK34:AS34"/>
    <mergeCell ref="AK35:AS35"/>
    <mergeCell ref="AX16:BC16"/>
    <mergeCell ref="BD16:BG16"/>
    <mergeCell ref="V15:X15"/>
    <mergeCell ref="AG16:AH16"/>
    <mergeCell ref="AX13:BC13"/>
    <mergeCell ref="AK15:AS15"/>
    <mergeCell ref="AI15:AJ15"/>
    <mergeCell ref="AE21:AF21"/>
    <mergeCell ref="BD15:BG15"/>
    <mergeCell ref="AX14:BC14"/>
    <mergeCell ref="AX15:BC15"/>
    <mergeCell ref="BD14:BG14"/>
    <mergeCell ref="V21:X21"/>
    <mergeCell ref="Y13:AB13"/>
    <mergeCell ref="Y14:AB14"/>
    <mergeCell ref="AG13:AH13"/>
    <mergeCell ref="AG14:AH14"/>
    <mergeCell ref="Y16:AB16"/>
    <mergeCell ref="AE14:AF14"/>
    <mergeCell ref="AI19:AJ19"/>
    <mergeCell ref="AI20:AJ20"/>
    <mergeCell ref="AI21:AJ21"/>
    <mergeCell ref="AI18:AJ18"/>
    <mergeCell ref="AC21:AD21"/>
    <mergeCell ref="O16:R16"/>
    <mergeCell ref="BI14:BL14"/>
    <mergeCell ref="D14:F14"/>
    <mergeCell ref="Y15:AB15"/>
    <mergeCell ref="A1:AS1"/>
    <mergeCell ref="K14:N14"/>
    <mergeCell ref="O14:R14"/>
    <mergeCell ref="S14:U14"/>
    <mergeCell ref="A13:C13"/>
    <mergeCell ref="K13:N13"/>
    <mergeCell ref="K15:N15"/>
    <mergeCell ref="S16:U16"/>
    <mergeCell ref="V16:X16"/>
    <mergeCell ref="BD10:BJ11"/>
    <mergeCell ref="BI15:BL15"/>
    <mergeCell ref="A9:C12"/>
    <mergeCell ref="BD4:BL4"/>
    <mergeCell ref="AX7:BC7"/>
    <mergeCell ref="BK10:BL11"/>
    <mergeCell ref="AI10:AJ12"/>
    <mergeCell ref="AA7:AB7"/>
    <mergeCell ref="BD6:BJ6"/>
    <mergeCell ref="BK6:BL6"/>
    <mergeCell ref="AM4:AN4"/>
    <mergeCell ref="A18:C18"/>
    <mergeCell ref="K18:N18"/>
    <mergeCell ref="O18:R18"/>
    <mergeCell ref="S18:U18"/>
    <mergeCell ref="V18:X18"/>
    <mergeCell ref="V20:X20"/>
    <mergeCell ref="D13:F13"/>
    <mergeCell ref="G17:J17"/>
    <mergeCell ref="A15:C15"/>
    <mergeCell ref="D15:F15"/>
    <mergeCell ref="G18:J18"/>
    <mergeCell ref="G19:J19"/>
    <mergeCell ref="G16:J16"/>
    <mergeCell ref="A14:C14"/>
    <mergeCell ref="D18:F18"/>
    <mergeCell ref="A17:C17"/>
    <mergeCell ref="O17:R17"/>
    <mergeCell ref="A19:C19"/>
    <mergeCell ref="D17:F17"/>
    <mergeCell ref="S15:U15"/>
    <mergeCell ref="O15:R15"/>
    <mergeCell ref="A16:C16"/>
    <mergeCell ref="D16:F16"/>
    <mergeCell ref="K16:N16"/>
    <mergeCell ref="A21:C21"/>
    <mergeCell ref="D21:F21"/>
    <mergeCell ref="K21:N21"/>
    <mergeCell ref="O21:R21"/>
    <mergeCell ref="G20:J20"/>
    <mergeCell ref="A22:C22"/>
    <mergeCell ref="Y19:AB19"/>
    <mergeCell ref="A20:C20"/>
    <mergeCell ref="D20:F20"/>
    <mergeCell ref="K20:N20"/>
    <mergeCell ref="O20:R20"/>
    <mergeCell ref="S20:U20"/>
    <mergeCell ref="G22:J22"/>
    <mergeCell ref="Y22:AB22"/>
    <mergeCell ref="D22:F22"/>
    <mergeCell ref="Y20:AB20"/>
    <mergeCell ref="Y21:AB21"/>
    <mergeCell ref="K22:N22"/>
    <mergeCell ref="O22:R22"/>
    <mergeCell ref="S22:U22"/>
    <mergeCell ref="S21:U21"/>
    <mergeCell ref="G21:J21"/>
    <mergeCell ref="V22:X22"/>
    <mergeCell ref="A23:C23"/>
    <mergeCell ref="Y23:AB23"/>
    <mergeCell ref="Y24:AB24"/>
    <mergeCell ref="D23:F23"/>
    <mergeCell ref="K23:N23"/>
    <mergeCell ref="O23:R23"/>
    <mergeCell ref="A24:C24"/>
    <mergeCell ref="D24:F24"/>
    <mergeCell ref="K24:N24"/>
    <mergeCell ref="S23:U23"/>
    <mergeCell ref="G23:J23"/>
    <mergeCell ref="V23:X23"/>
    <mergeCell ref="V24:X24"/>
    <mergeCell ref="A26:C26"/>
    <mergeCell ref="D26:F26"/>
    <mergeCell ref="K26:N26"/>
    <mergeCell ref="O26:R26"/>
    <mergeCell ref="S26:U26"/>
    <mergeCell ref="O24:R24"/>
    <mergeCell ref="S24:U24"/>
    <mergeCell ref="A25:C25"/>
    <mergeCell ref="D25:F25"/>
    <mergeCell ref="K25:N25"/>
    <mergeCell ref="O25:R25"/>
    <mergeCell ref="S25:U25"/>
    <mergeCell ref="G26:J26"/>
    <mergeCell ref="G24:J24"/>
    <mergeCell ref="A27:C27"/>
    <mergeCell ref="V27:X27"/>
    <mergeCell ref="A29:C29"/>
    <mergeCell ref="V29:X29"/>
    <mergeCell ref="A28:C28"/>
    <mergeCell ref="D28:F28"/>
    <mergeCell ref="K28:N28"/>
    <mergeCell ref="O28:R28"/>
    <mergeCell ref="S28:U28"/>
    <mergeCell ref="V28:X28"/>
    <mergeCell ref="D27:F27"/>
    <mergeCell ref="K27:N27"/>
    <mergeCell ref="O27:R27"/>
    <mergeCell ref="O29:R29"/>
    <mergeCell ref="S29:U29"/>
    <mergeCell ref="D29:F29"/>
    <mergeCell ref="K29:N29"/>
    <mergeCell ref="G27:J27"/>
    <mergeCell ref="G28:J28"/>
    <mergeCell ref="G29:J29"/>
    <mergeCell ref="Y31:AB31"/>
    <mergeCell ref="Y30:AB30"/>
    <mergeCell ref="V31:X31"/>
    <mergeCell ref="A30:C30"/>
    <mergeCell ref="D30:F30"/>
    <mergeCell ref="K30:N30"/>
    <mergeCell ref="O30:R30"/>
    <mergeCell ref="S30:U30"/>
    <mergeCell ref="V30:X30"/>
    <mergeCell ref="G30:J30"/>
    <mergeCell ref="G32:J32"/>
    <mergeCell ref="D31:F31"/>
    <mergeCell ref="K31:N31"/>
    <mergeCell ref="G33:J33"/>
    <mergeCell ref="A34:C34"/>
    <mergeCell ref="D34:F34"/>
    <mergeCell ref="G34:J34"/>
    <mergeCell ref="S31:U31"/>
    <mergeCell ref="O32:R32"/>
    <mergeCell ref="G31:J31"/>
    <mergeCell ref="A31:C31"/>
    <mergeCell ref="A32:C32"/>
    <mergeCell ref="D32:F32"/>
    <mergeCell ref="K32:N32"/>
    <mergeCell ref="O34:R34"/>
    <mergeCell ref="K34:N34"/>
    <mergeCell ref="A37:C37"/>
    <mergeCell ref="D37:F37"/>
    <mergeCell ref="K37:N37"/>
    <mergeCell ref="O37:R37"/>
    <mergeCell ref="S37:U37"/>
    <mergeCell ref="D33:F33"/>
    <mergeCell ref="K33:N33"/>
    <mergeCell ref="A33:C33"/>
    <mergeCell ref="V37:X37"/>
    <mergeCell ref="G37:J37"/>
    <mergeCell ref="G35:J35"/>
    <mergeCell ref="A36:C36"/>
    <mergeCell ref="D36:F36"/>
    <mergeCell ref="K36:N36"/>
    <mergeCell ref="O36:R36"/>
    <mergeCell ref="S36:U36"/>
    <mergeCell ref="G36:J36"/>
    <mergeCell ref="A35:C35"/>
    <mergeCell ref="D35:F35"/>
    <mergeCell ref="K35:N35"/>
    <mergeCell ref="O35:R35"/>
    <mergeCell ref="S35:U35"/>
    <mergeCell ref="A39:C39"/>
    <mergeCell ref="D39:F39"/>
    <mergeCell ref="K39:N39"/>
    <mergeCell ref="O39:R39"/>
    <mergeCell ref="S39:U39"/>
    <mergeCell ref="V39:X39"/>
    <mergeCell ref="G39:J39"/>
    <mergeCell ref="A38:C38"/>
    <mergeCell ref="D38:F38"/>
    <mergeCell ref="K38:N38"/>
    <mergeCell ref="O38:R38"/>
    <mergeCell ref="S38:U38"/>
    <mergeCell ref="V38:X38"/>
    <mergeCell ref="G38:J38"/>
    <mergeCell ref="AK40:AS40"/>
    <mergeCell ref="A43:C43"/>
    <mergeCell ref="D43:F43"/>
    <mergeCell ref="K43:N43"/>
    <mergeCell ref="O43:R43"/>
    <mergeCell ref="S43:U43"/>
    <mergeCell ref="AK43:AS43"/>
    <mergeCell ref="G43:J43"/>
    <mergeCell ref="A42:C42"/>
    <mergeCell ref="D42:F42"/>
    <mergeCell ref="K42:N42"/>
    <mergeCell ref="O42:R42"/>
    <mergeCell ref="S42:U42"/>
    <mergeCell ref="G42:J42"/>
    <mergeCell ref="A41:C41"/>
    <mergeCell ref="D41:F41"/>
    <mergeCell ref="K41:N41"/>
    <mergeCell ref="O41:R41"/>
    <mergeCell ref="S41:U41"/>
    <mergeCell ref="G41:J41"/>
    <mergeCell ref="A40:C40"/>
    <mergeCell ref="D40:F40"/>
    <mergeCell ref="K40:N40"/>
    <mergeCell ref="O40:R40"/>
    <mergeCell ref="D9:F12"/>
    <mergeCell ref="AX8:BC9"/>
    <mergeCell ref="BK8:BL9"/>
    <mergeCell ref="S10:U12"/>
    <mergeCell ref="AC6:AJ6"/>
    <mergeCell ref="V26:X26"/>
    <mergeCell ref="AX4:BC4"/>
    <mergeCell ref="AX6:BC6"/>
    <mergeCell ref="AK16:AS16"/>
    <mergeCell ref="AK6:AS6"/>
    <mergeCell ref="AC9:AJ9"/>
    <mergeCell ref="AG10:AH12"/>
    <mergeCell ref="AI14:AJ14"/>
    <mergeCell ref="AP4:AQ4"/>
    <mergeCell ref="S9:AB9"/>
    <mergeCell ref="Y10:AB12"/>
    <mergeCell ref="AK9:AS12"/>
    <mergeCell ref="W7:Z7"/>
    <mergeCell ref="AI13:AJ13"/>
    <mergeCell ref="V13:X13"/>
    <mergeCell ref="S13:U13"/>
    <mergeCell ref="AE15:AF15"/>
    <mergeCell ref="AE16:AF16"/>
    <mergeCell ref="D19:F19"/>
    <mergeCell ref="Y43:AB43"/>
    <mergeCell ref="G25:J25"/>
    <mergeCell ref="S32:U32"/>
    <mergeCell ref="S27:U27"/>
    <mergeCell ref="AC25:AD25"/>
    <mergeCell ref="AE24:AF24"/>
    <mergeCell ref="Y33:AB33"/>
    <mergeCell ref="O33:R33"/>
    <mergeCell ref="S33:U33"/>
    <mergeCell ref="V42:X42"/>
    <mergeCell ref="V33:X33"/>
    <mergeCell ref="V43:X43"/>
    <mergeCell ref="V41:X41"/>
    <mergeCell ref="V35:X35"/>
    <mergeCell ref="V36:X36"/>
    <mergeCell ref="S34:U34"/>
    <mergeCell ref="S40:U40"/>
    <mergeCell ref="V40:X40"/>
    <mergeCell ref="G40:J40"/>
    <mergeCell ref="V34:X34"/>
    <mergeCell ref="O31:R31"/>
    <mergeCell ref="Y34:AB34"/>
    <mergeCell ref="Y32:AB32"/>
    <mergeCell ref="V32:X32"/>
    <mergeCell ref="V25:X25"/>
    <mergeCell ref="AC23:AD23"/>
    <mergeCell ref="Y26:AB26"/>
    <mergeCell ref="AC24:AD24"/>
    <mergeCell ref="Y28:AB28"/>
    <mergeCell ref="Y27:AB27"/>
    <mergeCell ref="Y29:AB29"/>
    <mergeCell ref="Y25:AB25"/>
    <mergeCell ref="K19:N19"/>
    <mergeCell ref="O19:R19"/>
    <mergeCell ref="AC19:AD19"/>
    <mergeCell ref="S17:U17"/>
    <mergeCell ref="V17:X17"/>
    <mergeCell ref="AE18:AF18"/>
    <mergeCell ref="AE19:AF19"/>
    <mergeCell ref="Y18:AB18"/>
    <mergeCell ref="K17:N17"/>
    <mergeCell ref="S19:U19"/>
    <mergeCell ref="V19:X19"/>
    <mergeCell ref="AE17:AF17"/>
    <mergeCell ref="Y17:AB17"/>
    <mergeCell ref="BK7:BL7"/>
    <mergeCell ref="BD7:BJ7"/>
    <mergeCell ref="G13:J13"/>
    <mergeCell ref="AC7:AJ7"/>
    <mergeCell ref="AK7:AS7"/>
    <mergeCell ref="AK13:AS13"/>
    <mergeCell ref="O10:R12"/>
    <mergeCell ref="G7:K7"/>
    <mergeCell ref="AX10:BC11"/>
    <mergeCell ref="V10:X12"/>
    <mergeCell ref="G9:R9"/>
    <mergeCell ref="G10:J12"/>
    <mergeCell ref="BD13:BG13"/>
    <mergeCell ref="BI13:BL13"/>
    <mergeCell ref="O13:R13"/>
    <mergeCell ref="AC13:AD13"/>
    <mergeCell ref="AE10:AF12"/>
    <mergeCell ref="AE13:AF13"/>
    <mergeCell ref="BD8:BJ9"/>
    <mergeCell ref="G6:K6"/>
    <mergeCell ref="L6:R6"/>
    <mergeCell ref="S6:V6"/>
    <mergeCell ref="W6:AB6"/>
    <mergeCell ref="G14:J14"/>
    <mergeCell ref="G15:J15"/>
    <mergeCell ref="V14:X14"/>
    <mergeCell ref="K10:N12"/>
    <mergeCell ref="L7:R7"/>
    <mergeCell ref="S7:V7"/>
    <mergeCell ref="AK14:AS14"/>
    <mergeCell ref="AI22:AJ22"/>
    <mergeCell ref="AG23:AH23"/>
    <mergeCell ref="AG24:AH24"/>
    <mergeCell ref="AG21:AH21"/>
    <mergeCell ref="AG22:AH22"/>
    <mergeCell ref="AI16:AJ16"/>
    <mergeCell ref="AI17:AJ17"/>
    <mergeCell ref="AG15:AH15"/>
    <mergeCell ref="AK36:AS36"/>
    <mergeCell ref="AC36:AD36"/>
    <mergeCell ref="AE30:AF30"/>
    <mergeCell ref="AK32:AS32"/>
    <mergeCell ref="AK33:AS33"/>
    <mergeCell ref="AC43:AD43"/>
    <mergeCell ref="AI43:AJ43"/>
    <mergeCell ref="AE38:AF38"/>
    <mergeCell ref="AE37:AF37"/>
    <mergeCell ref="AG40:AH40"/>
    <mergeCell ref="AC42:AD42"/>
    <mergeCell ref="AC41:AD41"/>
    <mergeCell ref="AE40:AF40"/>
    <mergeCell ref="AG43:AH43"/>
    <mergeCell ref="AC39:AD39"/>
    <mergeCell ref="AC37:AD37"/>
    <mergeCell ref="AC38:AD38"/>
    <mergeCell ref="AG42:AH42"/>
    <mergeCell ref="AE41:AF41"/>
    <mergeCell ref="AE42:AF42"/>
    <mergeCell ref="AG41:AH41"/>
    <mergeCell ref="AI31:AJ31"/>
    <mergeCell ref="AI32:AJ32"/>
    <mergeCell ref="AC30:AD30"/>
    <mergeCell ref="AE35:AF35"/>
    <mergeCell ref="AE36:AF36"/>
    <mergeCell ref="AC10:AD12"/>
    <mergeCell ref="AC14:AD14"/>
    <mergeCell ref="AE33:AF33"/>
    <mergeCell ref="AE34:AF34"/>
    <mergeCell ref="AC35:AD35"/>
    <mergeCell ref="AE29:AF29"/>
    <mergeCell ref="AC18:AD18"/>
    <mergeCell ref="AC17:AD17"/>
    <mergeCell ref="AC15:AD15"/>
    <mergeCell ref="AC16:AD16"/>
    <mergeCell ref="AC20:AD20"/>
    <mergeCell ref="AC34:AD34"/>
    <mergeCell ref="AC22:AD22"/>
    <mergeCell ref="AE25:AF25"/>
    <mergeCell ref="AE22:AF22"/>
    <mergeCell ref="AC29:AD29"/>
    <mergeCell ref="AC31:AD31"/>
    <mergeCell ref="AC26:AD26"/>
    <mergeCell ref="AC27:AD27"/>
    <mergeCell ref="AC28:AD28"/>
    <mergeCell ref="Y36:AB36"/>
    <mergeCell ref="AI40:AJ40"/>
    <mergeCell ref="AE43:AF43"/>
    <mergeCell ref="AG25:AH25"/>
    <mergeCell ref="AI25:AJ25"/>
    <mergeCell ref="AI35:AJ35"/>
    <mergeCell ref="AI36:AJ36"/>
    <mergeCell ref="AI37:AJ37"/>
    <mergeCell ref="AI38:AJ38"/>
    <mergeCell ref="AI34:AJ34"/>
    <mergeCell ref="AE26:AF26"/>
    <mergeCell ref="AE27:AF27"/>
    <mergeCell ref="AE28:AF28"/>
    <mergeCell ref="AE31:AF31"/>
    <mergeCell ref="AI26:AJ26"/>
    <mergeCell ref="AI33:AJ33"/>
    <mergeCell ref="AI27:AJ27"/>
    <mergeCell ref="AI28:AJ28"/>
    <mergeCell ref="AE32:AF32"/>
    <mergeCell ref="AG28:AH28"/>
    <mergeCell ref="AC32:AD32"/>
    <mergeCell ref="AC33:AD33"/>
    <mergeCell ref="AI29:AJ29"/>
    <mergeCell ref="AI30:AJ30"/>
  </mergeCells>
  <phoneticPr fontId="12"/>
  <conditionalFormatting sqref="BD37:BF43 BD18:BF23">
    <cfRule type="expression" dxfId="678" priority="1238" stopIfTrue="1">
      <formula>WEEKDAY(T11)=1</formula>
    </cfRule>
    <cfRule type="expression" dxfId="677" priority="1239" stopIfTrue="1">
      <formula>WEEKDAY(T11)=7</formula>
    </cfRule>
  </conditionalFormatting>
  <conditionalFormatting sqref="A13:C14">
    <cfRule type="expression" dxfId="676" priority="1220" stopIfTrue="1">
      <formula>WEEKDAY(A13)=1</formula>
    </cfRule>
    <cfRule type="expression" dxfId="675" priority="1221" stopIfTrue="1">
      <formula>WEEKDAY(A13)=7</formula>
    </cfRule>
    <cfRule type="expression" dxfId="674" priority="1222" stopIfTrue="1">
      <formula>COUNTIF(HOLIDAY,A13)</formula>
    </cfRule>
  </conditionalFormatting>
  <conditionalFormatting sqref="Y13:AA36">
    <cfRule type="expression" dxfId="673" priority="1252" stopIfTrue="1">
      <formula>WEEKDAY(BE20)=1</formula>
    </cfRule>
    <cfRule type="expression" dxfId="672" priority="1253" stopIfTrue="1">
      <formula>WEEKDAY(BE20)=7</formula>
    </cfRule>
    <cfRule type="expression" dxfId="671" priority="1254" stopIfTrue="1">
      <formula>#REF!="祝祭日等"</formula>
    </cfRule>
  </conditionalFormatting>
  <conditionalFormatting sqref="BG37:BI43 BG18:BI23">
    <cfRule type="expression" dxfId="670" priority="1255" stopIfTrue="1">
      <formula>WEEKDAY(W11)=1</formula>
    </cfRule>
    <cfRule type="expression" dxfId="669" priority="1256" stopIfTrue="1">
      <formula>WEEKDAY(W11)=7</formula>
    </cfRule>
    <cfRule type="expression" dxfId="668" priority="1257" stopIfTrue="1">
      <formula>#REF!="祝祭日等"</formula>
    </cfRule>
  </conditionalFormatting>
  <conditionalFormatting sqref="W13:W41">
    <cfRule type="expression" dxfId="667" priority="1267" stopIfTrue="1">
      <formula>WEEKDAY(R13)=1</formula>
    </cfRule>
    <cfRule type="expression" dxfId="666" priority="1268" stopIfTrue="1">
      <formula>WEEKDAY(R13)=7</formula>
    </cfRule>
    <cfRule type="expression" dxfId="665" priority="1269" stopIfTrue="1">
      <formula>AX15="祝祭日等"</formula>
    </cfRule>
  </conditionalFormatting>
  <conditionalFormatting sqref="V13:V41">
    <cfRule type="expression" dxfId="664" priority="1270" stopIfTrue="1">
      <formula>WEEKDAY(P13)=1</formula>
    </cfRule>
    <cfRule type="expression" dxfId="663" priority="1271" stopIfTrue="1">
      <formula>WEEKDAY(P13)=7</formula>
    </cfRule>
    <cfRule type="expression" dxfId="662" priority="1272" stopIfTrue="1">
      <formula>BZ15="祝祭日等"</formula>
    </cfRule>
  </conditionalFormatting>
  <conditionalFormatting sqref="A15:C43">
    <cfRule type="expression" dxfId="661" priority="1205" stopIfTrue="1">
      <formula>WEEKDAY(A15)=1</formula>
    </cfRule>
    <cfRule type="expression" dxfId="660" priority="1206" stopIfTrue="1">
      <formula>WEEKDAY(A15)=7</formula>
    </cfRule>
    <cfRule type="expression" dxfId="659" priority="1207" stopIfTrue="1">
      <formula>COUNTIF(HOLIDAY,A15)</formula>
    </cfRule>
  </conditionalFormatting>
  <conditionalFormatting sqref="X13:X41">
    <cfRule type="expression" dxfId="658" priority="1310" stopIfTrue="1">
      <formula>WEEKDAY(S13)=1</formula>
    </cfRule>
    <cfRule type="expression" dxfId="657" priority="1311" stopIfTrue="1">
      <formula>WEEKDAY(S13)=7</formula>
    </cfRule>
    <cfRule type="expression" dxfId="656" priority="1312" stopIfTrue="1">
      <formula>AZ15="祝祭日等"</formula>
    </cfRule>
  </conditionalFormatting>
  <conditionalFormatting sqref="AB13:AB36">
    <cfRule type="expression" dxfId="655" priority="1343" stopIfTrue="1">
      <formula>WEEKDAY(BG20)=1</formula>
    </cfRule>
    <cfRule type="expression" dxfId="654" priority="1344" stopIfTrue="1">
      <formula>WEEKDAY(BG20)=7</formula>
    </cfRule>
    <cfRule type="expression" dxfId="653" priority="1345" stopIfTrue="1">
      <formula>CD15="祝祭日等"</formula>
    </cfRule>
  </conditionalFormatting>
  <conditionalFormatting sqref="BA65:BC65">
    <cfRule type="expression" dxfId="652" priority="1394" stopIfTrue="1">
      <formula>WEEKDAY(T42)=1</formula>
    </cfRule>
    <cfRule type="expression" dxfId="651" priority="1395" stopIfTrue="1">
      <formula>WEEKDAY(T42)=7</formula>
    </cfRule>
  </conditionalFormatting>
  <conditionalFormatting sqref="Y42:AA43">
    <cfRule type="expression" dxfId="650" priority="1399" stopIfTrue="1">
      <formula>WEEKDAY(BB65)=1</formula>
    </cfRule>
    <cfRule type="expression" dxfId="649" priority="1400" stopIfTrue="1">
      <formula>WEEKDAY(BB65)=7</formula>
    </cfRule>
    <cfRule type="expression" dxfId="648" priority="1401" stopIfTrue="1">
      <formula>#REF!="祝祭日等"</formula>
    </cfRule>
  </conditionalFormatting>
  <conditionalFormatting sqref="BD65:BF65">
    <cfRule type="expression" dxfId="647" priority="1405" stopIfTrue="1">
      <formula>WEEKDAY(W42)=1</formula>
    </cfRule>
    <cfRule type="expression" dxfId="646" priority="1406" stopIfTrue="1">
      <formula>WEEKDAY(W42)=7</formula>
    </cfRule>
    <cfRule type="expression" dxfId="645" priority="1407" stopIfTrue="1">
      <formula>#REF!="祝祭日等"</formula>
    </cfRule>
  </conditionalFormatting>
  <conditionalFormatting sqref="BA57:BC60">
    <cfRule type="expression" dxfId="644" priority="1429" stopIfTrue="1">
      <formula>WEEKDAY(T41)=1</formula>
    </cfRule>
    <cfRule type="expression" dxfId="643" priority="1430" stopIfTrue="1">
      <formula>WEEKDAY(T41)=7</formula>
    </cfRule>
  </conditionalFormatting>
  <conditionalFormatting sqref="Y38:AA38">
    <cfRule type="expression" dxfId="642" priority="1431" stopIfTrue="1">
      <formula>WEEKDAY(#REF!)=1</formula>
    </cfRule>
    <cfRule type="expression" dxfId="641" priority="1432" stopIfTrue="1">
      <formula>WEEKDAY(#REF!)=7</formula>
    </cfRule>
    <cfRule type="expression" dxfId="640" priority="1433" stopIfTrue="1">
      <formula>#REF!="祝祭日等"</formula>
    </cfRule>
  </conditionalFormatting>
  <conditionalFormatting sqref="Y41:AA41">
    <cfRule type="expression" dxfId="639" priority="1434" stopIfTrue="1">
      <formula>WEEKDAY(BB57)=1</formula>
    </cfRule>
    <cfRule type="expression" dxfId="638" priority="1435" stopIfTrue="1">
      <formula>WEEKDAY(BB57)=7</formula>
    </cfRule>
    <cfRule type="expression" dxfId="637" priority="1436" stopIfTrue="1">
      <formula>#REF!="祝祭日等"</formula>
    </cfRule>
  </conditionalFormatting>
  <conditionalFormatting sqref="BD57:BF60">
    <cfRule type="expression" dxfId="636" priority="1437" stopIfTrue="1">
      <formula>WEEKDAY(W41)=1</formula>
    </cfRule>
    <cfRule type="expression" dxfId="635" priority="1438" stopIfTrue="1">
      <formula>WEEKDAY(W41)=7</formula>
    </cfRule>
    <cfRule type="expression" dxfId="634" priority="1439" stopIfTrue="1">
      <formula>#REF!="祝祭日等"</formula>
    </cfRule>
  </conditionalFormatting>
  <conditionalFormatting sqref="AB43">
    <cfRule type="expression" dxfId="633" priority="1443" stopIfTrue="1">
      <formula>WEEKDAY(BD66)=1</formula>
    </cfRule>
    <cfRule type="expression" dxfId="632" priority="1444" stopIfTrue="1">
      <formula>WEEKDAY(BD66)=7</formula>
    </cfRule>
    <cfRule type="expression" dxfId="631" priority="1445" stopIfTrue="1">
      <formula>#REF!="祝祭日等"</formula>
    </cfRule>
  </conditionalFormatting>
  <conditionalFormatting sqref="W43">
    <cfRule type="expression" dxfId="630" priority="1449" stopIfTrue="1">
      <formula>WEEKDAY(R43)=1</formula>
    </cfRule>
    <cfRule type="expression" dxfId="629" priority="1450" stopIfTrue="1">
      <formula>WEEKDAY(R43)=7</formula>
    </cfRule>
    <cfRule type="expression" dxfId="628" priority="1451" stopIfTrue="1">
      <formula>#REF!="祝祭日等"</formula>
    </cfRule>
  </conditionalFormatting>
  <conditionalFormatting sqref="V43">
    <cfRule type="expression" dxfId="627" priority="1452" stopIfTrue="1">
      <formula>WEEKDAY(P43)=1</formula>
    </cfRule>
    <cfRule type="expression" dxfId="626" priority="1453" stopIfTrue="1">
      <formula>WEEKDAY(P43)=7</formula>
    </cfRule>
    <cfRule type="expression" dxfId="625" priority="1454" stopIfTrue="1">
      <formula>#REF!="祝祭日等"</formula>
    </cfRule>
  </conditionalFormatting>
  <conditionalFormatting sqref="X43">
    <cfRule type="expression" dxfId="624" priority="1455" stopIfTrue="1">
      <formula>WEEKDAY(S43)=1</formula>
    </cfRule>
    <cfRule type="expression" dxfId="623" priority="1456" stopIfTrue="1">
      <formula>WEEKDAY(S43)=7</formula>
    </cfRule>
    <cfRule type="expression" dxfId="622" priority="1457" stopIfTrue="1">
      <formula>#REF!="祝祭日等"</formula>
    </cfRule>
  </conditionalFormatting>
  <conditionalFormatting sqref="AB38">
    <cfRule type="expression" dxfId="621" priority="1458" stopIfTrue="1">
      <formula>WEEKDAY(#REF!)=1</formula>
    </cfRule>
    <cfRule type="expression" dxfId="620" priority="1459" stopIfTrue="1">
      <formula>WEEKDAY(#REF!)=7</formula>
    </cfRule>
    <cfRule type="expression" dxfId="619" priority="1460" stopIfTrue="1">
      <formula>CD40="祝祭日等"</formula>
    </cfRule>
  </conditionalFormatting>
  <conditionalFormatting sqref="BA44:BC44">
    <cfRule type="expression" dxfId="618" priority="1479" stopIfTrue="1">
      <formula>WEEKDAY(T37)=1</formula>
    </cfRule>
    <cfRule type="expression" dxfId="617" priority="1480" stopIfTrue="1">
      <formula>WEEKDAY(T37)=7</formula>
    </cfRule>
  </conditionalFormatting>
  <conditionalFormatting sqref="S13:U43">
    <cfRule type="expression" dxfId="616" priority="1483" stopIfTrue="1">
      <formula>WEEKDAY(#REF!)=1</formula>
    </cfRule>
    <cfRule type="expression" dxfId="615" priority="1484" stopIfTrue="1">
      <formula>WEEKDAY(#REF!)=7</formula>
    </cfRule>
    <cfRule type="expression" dxfId="614" priority="1485" stopIfTrue="1">
      <formula>AT13="祝祭日等"</formula>
    </cfRule>
  </conditionalFormatting>
  <conditionalFormatting sqref="Y37:AA37">
    <cfRule type="expression" dxfId="613" priority="1486" stopIfTrue="1">
      <formula>WEEKDAY(BB44)=1</formula>
    </cfRule>
    <cfRule type="expression" dxfId="612" priority="1487" stopIfTrue="1">
      <formula>WEEKDAY(BB44)=7</formula>
    </cfRule>
    <cfRule type="expression" dxfId="611" priority="1488" stopIfTrue="1">
      <formula>#REF!="祝祭日等"</formula>
    </cfRule>
  </conditionalFormatting>
  <conditionalFormatting sqref="BD44:BF44">
    <cfRule type="expression" dxfId="610" priority="1492" stopIfTrue="1">
      <formula>WEEKDAY(W37)=1</formula>
    </cfRule>
    <cfRule type="expression" dxfId="609" priority="1493" stopIfTrue="1">
      <formula>WEEKDAY(W37)=7</formula>
    </cfRule>
    <cfRule type="expression" dxfId="608" priority="1494" stopIfTrue="1">
      <formula>#REF!="祝祭日等"</formula>
    </cfRule>
  </conditionalFormatting>
  <conditionalFormatting sqref="W42">
    <cfRule type="expression" dxfId="607" priority="1498" stopIfTrue="1">
      <formula>WEEKDAY(R42)=1</formula>
    </cfRule>
    <cfRule type="expression" dxfId="606" priority="1499" stopIfTrue="1">
      <formula>WEEKDAY(R42)=7</formula>
    </cfRule>
    <cfRule type="expression" dxfId="605" priority="1500" stopIfTrue="1">
      <formula>AU44="祝祭日等"</formula>
    </cfRule>
  </conditionalFormatting>
  <conditionalFormatting sqref="V42">
    <cfRule type="expression" dxfId="604" priority="1504" stopIfTrue="1">
      <formula>WEEKDAY(P42)=1</formula>
    </cfRule>
    <cfRule type="expression" dxfId="603" priority="1505" stopIfTrue="1">
      <formula>WEEKDAY(P42)=7</formula>
    </cfRule>
    <cfRule type="expression" dxfId="602" priority="1506" stopIfTrue="1">
      <formula>BW44="祝祭日等"</formula>
    </cfRule>
  </conditionalFormatting>
  <conditionalFormatting sqref="X42">
    <cfRule type="expression" dxfId="601" priority="1510" stopIfTrue="1">
      <formula>WEEKDAY(S42)=1</formula>
    </cfRule>
    <cfRule type="expression" dxfId="600" priority="1511" stopIfTrue="1">
      <formula>WEEKDAY(S42)=7</formula>
    </cfRule>
    <cfRule type="expression" dxfId="599" priority="1512" stopIfTrue="1">
      <formula>AW44="祝祭日等"</formula>
    </cfRule>
  </conditionalFormatting>
  <conditionalFormatting sqref="AB37">
    <cfRule type="expression" dxfId="598" priority="1516" stopIfTrue="1">
      <formula>WEEKDAY(BD44)=1</formula>
    </cfRule>
    <cfRule type="expression" dxfId="597" priority="1517" stopIfTrue="1">
      <formula>WEEKDAY(BD44)=7</formula>
    </cfRule>
    <cfRule type="expression" dxfId="596" priority="1518" stopIfTrue="1">
      <formula>CD39="祝祭日等"</formula>
    </cfRule>
  </conditionalFormatting>
  <conditionalFormatting sqref="D13:F43">
    <cfRule type="expression" dxfId="595" priority="1536" stopIfTrue="1">
      <formula>WEEKDAY(A13)=1</formula>
    </cfRule>
    <cfRule type="expression" dxfId="594" priority="1537" stopIfTrue="1">
      <formula>WEEKDAY(A13)=7</formula>
    </cfRule>
    <cfRule type="expression" dxfId="593" priority="1538" stopIfTrue="1">
      <formula>COUNTIF(HOLIDAY,A13)</formula>
    </cfRule>
  </conditionalFormatting>
  <conditionalFormatting sqref="AB41">
    <cfRule type="expression" dxfId="592" priority="1607" stopIfTrue="1">
      <formula>WEEKDAY(BD57)=1</formula>
    </cfRule>
    <cfRule type="expression" dxfId="591" priority="1608" stopIfTrue="1">
      <formula>WEEKDAY(BD57)=7</formula>
    </cfRule>
    <cfRule type="expression" dxfId="590" priority="1609" stopIfTrue="1">
      <formula>CD43="祝祭日等"</formula>
    </cfRule>
  </conditionalFormatting>
  <conditionalFormatting sqref="L6:R6">
    <cfRule type="expression" dxfId="589" priority="1196" stopIfTrue="1">
      <formula>$L$6=""</formula>
    </cfRule>
  </conditionalFormatting>
  <conditionalFormatting sqref="L7:R7">
    <cfRule type="expression" dxfId="588" priority="1195" stopIfTrue="1">
      <formula>$L$7=""</formula>
    </cfRule>
  </conditionalFormatting>
  <conditionalFormatting sqref="AK7">
    <cfRule type="expression" dxfId="587" priority="1193" stopIfTrue="1">
      <formula>$AK$7=""</formula>
    </cfRule>
  </conditionalFormatting>
  <conditionalFormatting sqref="AK6:AS6">
    <cfRule type="expression" dxfId="586" priority="1192" stopIfTrue="1">
      <formula>$AK$6=""</formula>
    </cfRule>
  </conditionalFormatting>
  <conditionalFormatting sqref="W6:AB6">
    <cfRule type="expression" dxfId="585" priority="1191" stopIfTrue="1">
      <formula>$W$6=""</formula>
    </cfRule>
  </conditionalFormatting>
  <conditionalFormatting sqref="AM4:AN4">
    <cfRule type="expression" dxfId="584" priority="1076" stopIfTrue="1">
      <formula>$AM$4=""</formula>
    </cfRule>
  </conditionalFormatting>
  <conditionalFormatting sqref="AP4:AQ4">
    <cfRule type="expression" dxfId="583" priority="1075" stopIfTrue="1">
      <formula>$AP$4=""</formula>
    </cfRule>
  </conditionalFormatting>
  <conditionalFormatting sqref="K13">
    <cfRule type="expression" dxfId="582" priority="907" stopIfTrue="1">
      <formula>WEEKDAY(F13)=1</formula>
    </cfRule>
    <cfRule type="expression" dxfId="581" priority="908" stopIfTrue="1">
      <formula>WEEKDAY(F13)=7</formula>
    </cfRule>
    <cfRule type="expression" dxfId="580" priority="909" stopIfTrue="1">
      <formula>#REF!="祝祭日等"</formula>
    </cfRule>
  </conditionalFormatting>
  <conditionalFormatting sqref="O13">
    <cfRule type="expression" dxfId="579" priority="904" stopIfTrue="1">
      <formula>WEEKDAY(I13)=1</formula>
    </cfRule>
    <cfRule type="expression" dxfId="578" priority="905" stopIfTrue="1">
      <formula>WEEKDAY(I13)=7</formula>
    </cfRule>
    <cfRule type="expression" dxfId="577" priority="906" stopIfTrue="1">
      <formula>AI13="祝祭日等"</formula>
    </cfRule>
  </conditionalFormatting>
  <conditionalFormatting sqref="G28:I28">
    <cfRule type="expression" dxfId="576" priority="610" stopIfTrue="1">
      <formula>WEEKDAY(#REF!)=1</formula>
    </cfRule>
    <cfRule type="expression" dxfId="575" priority="611" stopIfTrue="1">
      <formula>WEEKDAY(#REF!)=7</formula>
    </cfRule>
    <cfRule type="expression" dxfId="574" priority="612" stopIfTrue="1">
      <formula>AJ28="祝祭日等"</formula>
    </cfRule>
  </conditionalFormatting>
  <conditionalFormatting sqref="J28">
    <cfRule type="expression" dxfId="573" priority="613" stopIfTrue="1">
      <formula>WEEKDAY(#REF!)=1</formula>
    </cfRule>
    <cfRule type="expression" dxfId="572" priority="614" stopIfTrue="1">
      <formula>WEEKDAY(#REF!)=7</formula>
    </cfRule>
    <cfRule type="expression" dxfId="571" priority="615" stopIfTrue="1">
      <formula>AL28="祝祭日等"</formula>
    </cfRule>
  </conditionalFormatting>
  <conditionalFormatting sqref="G29:I29">
    <cfRule type="expression" dxfId="570" priority="604" stopIfTrue="1">
      <formula>WEEKDAY(#REF!)=1</formula>
    </cfRule>
    <cfRule type="expression" dxfId="569" priority="605" stopIfTrue="1">
      <formula>WEEKDAY(#REF!)=7</formula>
    </cfRule>
    <cfRule type="expression" dxfId="568" priority="606" stopIfTrue="1">
      <formula>AJ29="祝祭日等"</formula>
    </cfRule>
  </conditionalFormatting>
  <conditionalFormatting sqref="J29">
    <cfRule type="expression" dxfId="567" priority="607" stopIfTrue="1">
      <formula>WEEKDAY(#REF!)=1</formula>
    </cfRule>
    <cfRule type="expression" dxfId="566" priority="608" stopIfTrue="1">
      <formula>WEEKDAY(#REF!)=7</formula>
    </cfRule>
    <cfRule type="expression" dxfId="565" priority="609" stopIfTrue="1">
      <formula>AL29="祝祭日等"</formula>
    </cfRule>
  </conditionalFormatting>
  <conditionalFormatting sqref="K37">
    <cfRule type="expression" dxfId="564" priority="766" stopIfTrue="1">
      <formula>WEEKDAY(F37)=1</formula>
    </cfRule>
    <cfRule type="expression" dxfId="563" priority="767" stopIfTrue="1">
      <formula>WEEKDAY(F37)=7</formula>
    </cfRule>
    <cfRule type="expression" dxfId="562" priority="768" stopIfTrue="1">
      <formula>#REF!="祝祭日等"</formula>
    </cfRule>
  </conditionalFormatting>
  <conditionalFormatting sqref="O37">
    <cfRule type="expression" dxfId="561" priority="763" stopIfTrue="1">
      <formula>WEEKDAY(I37)=1</formula>
    </cfRule>
    <cfRule type="expression" dxfId="560" priority="764" stopIfTrue="1">
      <formula>WEEKDAY(I37)=7</formula>
    </cfRule>
    <cfRule type="expression" dxfId="559" priority="765" stopIfTrue="1">
      <formula>AI37="祝祭日等"</formula>
    </cfRule>
  </conditionalFormatting>
  <conditionalFormatting sqref="G13:I13">
    <cfRule type="expression" dxfId="558" priority="700" stopIfTrue="1">
      <formula>WEEKDAY(#REF!)=1</formula>
    </cfRule>
    <cfRule type="expression" dxfId="557" priority="701" stopIfTrue="1">
      <formula>WEEKDAY(#REF!)=7</formula>
    </cfRule>
    <cfRule type="expression" dxfId="556" priority="702" stopIfTrue="1">
      <formula>AJ13="祝祭日等"</formula>
    </cfRule>
  </conditionalFormatting>
  <conditionalFormatting sqref="J13">
    <cfRule type="expression" dxfId="555" priority="703" stopIfTrue="1">
      <formula>WEEKDAY(#REF!)=1</formula>
    </cfRule>
    <cfRule type="expression" dxfId="554" priority="704" stopIfTrue="1">
      <formula>WEEKDAY(#REF!)=7</formula>
    </cfRule>
    <cfRule type="expression" dxfId="553" priority="705" stopIfTrue="1">
      <formula>AL13="祝祭日等"</formula>
    </cfRule>
  </conditionalFormatting>
  <conditionalFormatting sqref="G14:I14">
    <cfRule type="expression" dxfId="552" priority="694" stopIfTrue="1">
      <formula>WEEKDAY(#REF!)=1</formula>
    </cfRule>
    <cfRule type="expression" dxfId="551" priority="695" stopIfTrue="1">
      <formula>WEEKDAY(#REF!)=7</formula>
    </cfRule>
    <cfRule type="expression" dxfId="550" priority="696" stopIfTrue="1">
      <formula>AJ14="祝祭日等"</formula>
    </cfRule>
  </conditionalFormatting>
  <conditionalFormatting sqref="J14">
    <cfRule type="expression" dxfId="549" priority="697" stopIfTrue="1">
      <formula>WEEKDAY(#REF!)=1</formula>
    </cfRule>
    <cfRule type="expression" dxfId="548" priority="698" stopIfTrue="1">
      <formula>WEEKDAY(#REF!)=7</formula>
    </cfRule>
    <cfRule type="expression" dxfId="547" priority="699" stopIfTrue="1">
      <formula>AL14="祝祭日等"</formula>
    </cfRule>
  </conditionalFormatting>
  <conditionalFormatting sqref="G15:I15">
    <cfRule type="expression" dxfId="546" priority="688" stopIfTrue="1">
      <formula>WEEKDAY(#REF!)=1</formula>
    </cfRule>
    <cfRule type="expression" dxfId="545" priority="689" stopIfTrue="1">
      <formula>WEEKDAY(#REF!)=7</formula>
    </cfRule>
    <cfRule type="expression" dxfId="544" priority="690" stopIfTrue="1">
      <formula>AJ15="祝祭日等"</formula>
    </cfRule>
  </conditionalFormatting>
  <conditionalFormatting sqref="J15">
    <cfRule type="expression" dxfId="543" priority="691" stopIfTrue="1">
      <formula>WEEKDAY(#REF!)=1</formula>
    </cfRule>
    <cfRule type="expression" dxfId="542" priority="692" stopIfTrue="1">
      <formula>WEEKDAY(#REF!)=7</formula>
    </cfRule>
    <cfRule type="expression" dxfId="541" priority="693" stopIfTrue="1">
      <formula>AL15="祝祭日等"</formula>
    </cfRule>
  </conditionalFormatting>
  <conditionalFormatting sqref="G16:I16">
    <cfRule type="expression" dxfId="540" priority="682" stopIfTrue="1">
      <formula>WEEKDAY(#REF!)=1</formula>
    </cfRule>
    <cfRule type="expression" dxfId="539" priority="683" stopIfTrue="1">
      <formula>WEEKDAY(#REF!)=7</formula>
    </cfRule>
    <cfRule type="expression" dxfId="538" priority="684" stopIfTrue="1">
      <formula>AJ16="祝祭日等"</formula>
    </cfRule>
  </conditionalFormatting>
  <conditionalFormatting sqref="J16">
    <cfRule type="expression" dxfId="537" priority="685" stopIfTrue="1">
      <formula>WEEKDAY(#REF!)=1</formula>
    </cfRule>
    <cfRule type="expression" dxfId="536" priority="686" stopIfTrue="1">
      <formula>WEEKDAY(#REF!)=7</formula>
    </cfRule>
    <cfRule type="expression" dxfId="535" priority="687" stopIfTrue="1">
      <formula>AL16="祝祭日等"</formula>
    </cfRule>
  </conditionalFormatting>
  <conditionalFormatting sqref="G17:I17">
    <cfRule type="expression" dxfId="534" priority="676" stopIfTrue="1">
      <formula>WEEKDAY(#REF!)=1</formula>
    </cfRule>
    <cfRule type="expression" dxfId="533" priority="677" stopIfTrue="1">
      <formula>WEEKDAY(#REF!)=7</formula>
    </cfRule>
    <cfRule type="expression" dxfId="532" priority="678" stopIfTrue="1">
      <formula>AJ17="祝祭日等"</formula>
    </cfRule>
  </conditionalFormatting>
  <conditionalFormatting sqref="J17">
    <cfRule type="expression" dxfId="531" priority="679" stopIfTrue="1">
      <formula>WEEKDAY(#REF!)=1</formula>
    </cfRule>
    <cfRule type="expression" dxfId="530" priority="680" stopIfTrue="1">
      <formula>WEEKDAY(#REF!)=7</formula>
    </cfRule>
    <cfRule type="expression" dxfId="529" priority="681" stopIfTrue="1">
      <formula>AL17="祝祭日等"</formula>
    </cfRule>
  </conditionalFormatting>
  <conditionalFormatting sqref="G18:I18">
    <cfRule type="expression" dxfId="528" priority="670" stopIfTrue="1">
      <formula>WEEKDAY(#REF!)=1</formula>
    </cfRule>
    <cfRule type="expression" dxfId="527" priority="671" stopIfTrue="1">
      <formula>WEEKDAY(#REF!)=7</formula>
    </cfRule>
    <cfRule type="expression" dxfId="526" priority="672" stopIfTrue="1">
      <formula>AJ18="祝祭日等"</formula>
    </cfRule>
  </conditionalFormatting>
  <conditionalFormatting sqref="J18">
    <cfRule type="expression" dxfId="525" priority="673" stopIfTrue="1">
      <formula>WEEKDAY(#REF!)=1</formula>
    </cfRule>
    <cfRule type="expression" dxfId="524" priority="674" stopIfTrue="1">
      <formula>WEEKDAY(#REF!)=7</formula>
    </cfRule>
    <cfRule type="expression" dxfId="523" priority="675" stopIfTrue="1">
      <formula>AL18="祝祭日等"</formula>
    </cfRule>
  </conditionalFormatting>
  <conditionalFormatting sqref="G19:I20">
    <cfRule type="expression" dxfId="522" priority="664" stopIfTrue="1">
      <formula>WEEKDAY(#REF!)=1</formula>
    </cfRule>
    <cfRule type="expression" dxfId="521" priority="665" stopIfTrue="1">
      <formula>WEEKDAY(#REF!)=7</formula>
    </cfRule>
    <cfRule type="expression" dxfId="520" priority="666" stopIfTrue="1">
      <formula>AJ19="祝祭日等"</formula>
    </cfRule>
  </conditionalFormatting>
  <conditionalFormatting sqref="J19:J20">
    <cfRule type="expression" dxfId="519" priority="667" stopIfTrue="1">
      <formula>WEEKDAY(#REF!)=1</formula>
    </cfRule>
    <cfRule type="expression" dxfId="518" priority="668" stopIfTrue="1">
      <formula>WEEKDAY(#REF!)=7</formula>
    </cfRule>
    <cfRule type="expression" dxfId="517" priority="669" stopIfTrue="1">
      <formula>AL19="祝祭日等"</formula>
    </cfRule>
  </conditionalFormatting>
  <conditionalFormatting sqref="G21:I21">
    <cfRule type="expression" dxfId="516" priority="652" stopIfTrue="1">
      <formula>WEEKDAY(#REF!)=1</formula>
    </cfRule>
    <cfRule type="expression" dxfId="515" priority="653" stopIfTrue="1">
      <formula>WEEKDAY(#REF!)=7</formula>
    </cfRule>
    <cfRule type="expression" dxfId="514" priority="654" stopIfTrue="1">
      <formula>AJ21="祝祭日等"</formula>
    </cfRule>
  </conditionalFormatting>
  <conditionalFormatting sqref="J21">
    <cfRule type="expression" dxfId="513" priority="655" stopIfTrue="1">
      <formula>WEEKDAY(#REF!)=1</formula>
    </cfRule>
    <cfRule type="expression" dxfId="512" priority="656" stopIfTrue="1">
      <formula>WEEKDAY(#REF!)=7</formula>
    </cfRule>
    <cfRule type="expression" dxfId="511" priority="657" stopIfTrue="1">
      <formula>AL21="祝祭日等"</formula>
    </cfRule>
  </conditionalFormatting>
  <conditionalFormatting sqref="G22:I22">
    <cfRule type="expression" dxfId="510" priority="646" stopIfTrue="1">
      <formula>WEEKDAY(#REF!)=1</formula>
    </cfRule>
    <cfRule type="expression" dxfId="509" priority="647" stopIfTrue="1">
      <formula>WEEKDAY(#REF!)=7</formula>
    </cfRule>
    <cfRule type="expression" dxfId="508" priority="648" stopIfTrue="1">
      <formula>AJ22="祝祭日等"</formula>
    </cfRule>
  </conditionalFormatting>
  <conditionalFormatting sqref="J22">
    <cfRule type="expression" dxfId="507" priority="649" stopIfTrue="1">
      <formula>WEEKDAY(#REF!)=1</formula>
    </cfRule>
    <cfRule type="expression" dxfId="506" priority="650" stopIfTrue="1">
      <formula>WEEKDAY(#REF!)=7</formula>
    </cfRule>
    <cfRule type="expression" dxfId="505" priority="651" stopIfTrue="1">
      <formula>AL22="祝祭日等"</formula>
    </cfRule>
  </conditionalFormatting>
  <conditionalFormatting sqref="G24:I24">
    <cfRule type="expression" dxfId="504" priority="634" stopIfTrue="1">
      <formula>WEEKDAY(#REF!)=1</formula>
    </cfRule>
    <cfRule type="expression" dxfId="503" priority="635" stopIfTrue="1">
      <formula>WEEKDAY(#REF!)=7</formula>
    </cfRule>
    <cfRule type="expression" dxfId="502" priority="636" stopIfTrue="1">
      <formula>AJ24="祝祭日等"</formula>
    </cfRule>
  </conditionalFormatting>
  <conditionalFormatting sqref="J24">
    <cfRule type="expression" dxfId="501" priority="637" stopIfTrue="1">
      <formula>WEEKDAY(#REF!)=1</formula>
    </cfRule>
    <cfRule type="expression" dxfId="500" priority="638" stopIfTrue="1">
      <formula>WEEKDAY(#REF!)=7</formula>
    </cfRule>
    <cfRule type="expression" dxfId="499" priority="639" stopIfTrue="1">
      <formula>AL24="祝祭日等"</formula>
    </cfRule>
  </conditionalFormatting>
  <conditionalFormatting sqref="G25:I25">
    <cfRule type="expression" dxfId="498" priority="628" stopIfTrue="1">
      <formula>WEEKDAY(#REF!)=1</formula>
    </cfRule>
    <cfRule type="expression" dxfId="497" priority="629" stopIfTrue="1">
      <formula>WEEKDAY(#REF!)=7</formula>
    </cfRule>
    <cfRule type="expression" dxfId="496" priority="630" stopIfTrue="1">
      <formula>AJ25="祝祭日等"</formula>
    </cfRule>
  </conditionalFormatting>
  <conditionalFormatting sqref="J25">
    <cfRule type="expression" dxfId="495" priority="631" stopIfTrue="1">
      <formula>WEEKDAY(#REF!)=1</formula>
    </cfRule>
    <cfRule type="expression" dxfId="494" priority="632" stopIfTrue="1">
      <formula>WEEKDAY(#REF!)=7</formula>
    </cfRule>
    <cfRule type="expression" dxfId="493" priority="633" stopIfTrue="1">
      <formula>AL25="祝祭日等"</formula>
    </cfRule>
  </conditionalFormatting>
  <conditionalFormatting sqref="G26:I26">
    <cfRule type="expression" dxfId="492" priority="622" stopIfTrue="1">
      <formula>WEEKDAY(#REF!)=1</formula>
    </cfRule>
    <cfRule type="expression" dxfId="491" priority="623" stopIfTrue="1">
      <formula>WEEKDAY(#REF!)=7</formula>
    </cfRule>
    <cfRule type="expression" dxfId="490" priority="624" stopIfTrue="1">
      <formula>AJ26="祝祭日等"</formula>
    </cfRule>
  </conditionalFormatting>
  <conditionalFormatting sqref="J26">
    <cfRule type="expression" dxfId="489" priority="625" stopIfTrue="1">
      <formula>WEEKDAY(#REF!)=1</formula>
    </cfRule>
    <cfRule type="expression" dxfId="488" priority="626" stopIfTrue="1">
      <formula>WEEKDAY(#REF!)=7</formula>
    </cfRule>
    <cfRule type="expression" dxfId="487" priority="627" stopIfTrue="1">
      <formula>AL26="祝祭日等"</formula>
    </cfRule>
  </conditionalFormatting>
  <conditionalFormatting sqref="G27:I27">
    <cfRule type="expression" dxfId="486" priority="616" stopIfTrue="1">
      <formula>WEEKDAY(#REF!)=1</formula>
    </cfRule>
    <cfRule type="expression" dxfId="485" priority="617" stopIfTrue="1">
      <formula>WEEKDAY(#REF!)=7</formula>
    </cfRule>
    <cfRule type="expression" dxfId="484" priority="618" stopIfTrue="1">
      <formula>AJ27="祝祭日等"</formula>
    </cfRule>
  </conditionalFormatting>
  <conditionalFormatting sqref="J27">
    <cfRule type="expression" dxfId="483" priority="619" stopIfTrue="1">
      <formula>WEEKDAY(#REF!)=1</formula>
    </cfRule>
    <cfRule type="expression" dxfId="482" priority="620" stopIfTrue="1">
      <formula>WEEKDAY(#REF!)=7</formula>
    </cfRule>
    <cfRule type="expression" dxfId="481" priority="621" stopIfTrue="1">
      <formula>AL27="祝祭日等"</formula>
    </cfRule>
  </conditionalFormatting>
  <conditionalFormatting sqref="G30:I30">
    <cfRule type="expression" dxfId="480" priority="598" stopIfTrue="1">
      <formula>WEEKDAY(#REF!)=1</formula>
    </cfRule>
    <cfRule type="expression" dxfId="479" priority="599" stopIfTrue="1">
      <formula>WEEKDAY(#REF!)=7</formula>
    </cfRule>
    <cfRule type="expression" dxfId="478" priority="600" stopIfTrue="1">
      <formula>AJ30="祝祭日等"</formula>
    </cfRule>
  </conditionalFormatting>
  <conditionalFormatting sqref="J30">
    <cfRule type="expression" dxfId="477" priority="601" stopIfTrue="1">
      <formula>WEEKDAY(#REF!)=1</formula>
    </cfRule>
    <cfRule type="expression" dxfId="476" priority="602" stopIfTrue="1">
      <formula>WEEKDAY(#REF!)=7</formula>
    </cfRule>
    <cfRule type="expression" dxfId="475" priority="603" stopIfTrue="1">
      <formula>AL30="祝祭日等"</formula>
    </cfRule>
  </conditionalFormatting>
  <conditionalFormatting sqref="G32:I32">
    <cfRule type="expression" dxfId="474" priority="586" stopIfTrue="1">
      <formula>WEEKDAY(#REF!)=1</formula>
    </cfRule>
    <cfRule type="expression" dxfId="473" priority="587" stopIfTrue="1">
      <formula>WEEKDAY(#REF!)=7</formula>
    </cfRule>
    <cfRule type="expression" dxfId="472" priority="588" stopIfTrue="1">
      <formula>AJ32="祝祭日等"</formula>
    </cfRule>
  </conditionalFormatting>
  <conditionalFormatting sqref="J32">
    <cfRule type="expression" dxfId="471" priority="589" stopIfTrue="1">
      <formula>WEEKDAY(#REF!)=1</formula>
    </cfRule>
    <cfRule type="expression" dxfId="470" priority="590" stopIfTrue="1">
      <formula>WEEKDAY(#REF!)=7</formula>
    </cfRule>
    <cfRule type="expression" dxfId="469" priority="591" stopIfTrue="1">
      <formula>AL32="祝祭日等"</formula>
    </cfRule>
  </conditionalFormatting>
  <conditionalFormatting sqref="G33:I33">
    <cfRule type="expression" dxfId="468" priority="580" stopIfTrue="1">
      <formula>WEEKDAY(#REF!)=1</formula>
    </cfRule>
    <cfRule type="expression" dxfId="467" priority="581" stopIfTrue="1">
      <formula>WEEKDAY(#REF!)=7</formula>
    </cfRule>
    <cfRule type="expression" dxfId="466" priority="582" stopIfTrue="1">
      <formula>AJ33="祝祭日等"</formula>
    </cfRule>
  </conditionalFormatting>
  <conditionalFormatting sqref="J33">
    <cfRule type="expression" dxfId="465" priority="583" stopIfTrue="1">
      <formula>WEEKDAY(#REF!)=1</formula>
    </cfRule>
    <cfRule type="expression" dxfId="464" priority="584" stopIfTrue="1">
      <formula>WEEKDAY(#REF!)=7</formula>
    </cfRule>
    <cfRule type="expression" dxfId="463" priority="585" stopIfTrue="1">
      <formula>AL33="祝祭日等"</formula>
    </cfRule>
  </conditionalFormatting>
  <conditionalFormatting sqref="G34:I34">
    <cfRule type="expression" dxfId="462" priority="574" stopIfTrue="1">
      <formula>WEEKDAY(#REF!)=1</formula>
    </cfRule>
    <cfRule type="expression" dxfId="461" priority="575" stopIfTrue="1">
      <formula>WEEKDAY(#REF!)=7</formula>
    </cfRule>
    <cfRule type="expression" dxfId="460" priority="576" stopIfTrue="1">
      <formula>AJ34="祝祭日等"</formula>
    </cfRule>
  </conditionalFormatting>
  <conditionalFormatting sqref="J34">
    <cfRule type="expression" dxfId="459" priority="577" stopIfTrue="1">
      <formula>WEEKDAY(#REF!)=1</formula>
    </cfRule>
    <cfRule type="expression" dxfId="458" priority="578" stopIfTrue="1">
      <formula>WEEKDAY(#REF!)=7</formula>
    </cfRule>
    <cfRule type="expression" dxfId="457" priority="579" stopIfTrue="1">
      <formula>AL34="祝祭日等"</formula>
    </cfRule>
  </conditionalFormatting>
  <conditionalFormatting sqref="G35:I35">
    <cfRule type="expression" dxfId="456" priority="568" stopIfTrue="1">
      <formula>WEEKDAY(#REF!)=1</formula>
    </cfRule>
    <cfRule type="expression" dxfId="455" priority="569" stopIfTrue="1">
      <formula>WEEKDAY(#REF!)=7</formula>
    </cfRule>
    <cfRule type="expression" dxfId="454" priority="570" stopIfTrue="1">
      <formula>AJ35="祝祭日等"</formula>
    </cfRule>
  </conditionalFormatting>
  <conditionalFormatting sqref="J35">
    <cfRule type="expression" dxfId="453" priority="571" stopIfTrue="1">
      <formula>WEEKDAY(#REF!)=1</formula>
    </cfRule>
    <cfRule type="expression" dxfId="452" priority="572" stopIfTrue="1">
      <formula>WEEKDAY(#REF!)=7</formula>
    </cfRule>
    <cfRule type="expression" dxfId="451" priority="573" stopIfTrue="1">
      <formula>AL35="祝祭日等"</formula>
    </cfRule>
  </conditionalFormatting>
  <conditionalFormatting sqref="G36:I36">
    <cfRule type="expression" dxfId="450" priority="562" stopIfTrue="1">
      <formula>WEEKDAY(#REF!)=1</formula>
    </cfRule>
    <cfRule type="expression" dxfId="449" priority="563" stopIfTrue="1">
      <formula>WEEKDAY(#REF!)=7</formula>
    </cfRule>
    <cfRule type="expression" dxfId="448" priority="564" stopIfTrue="1">
      <formula>AJ36="祝祭日等"</formula>
    </cfRule>
  </conditionalFormatting>
  <conditionalFormatting sqref="J36">
    <cfRule type="expression" dxfId="447" priority="565" stopIfTrue="1">
      <formula>WEEKDAY(#REF!)=1</formula>
    </cfRule>
    <cfRule type="expression" dxfId="446" priority="566" stopIfTrue="1">
      <formula>WEEKDAY(#REF!)=7</formula>
    </cfRule>
    <cfRule type="expression" dxfId="445" priority="567" stopIfTrue="1">
      <formula>AL36="祝祭日等"</formula>
    </cfRule>
  </conditionalFormatting>
  <conditionalFormatting sqref="G39:I39">
    <cfRule type="expression" dxfId="444" priority="544" stopIfTrue="1">
      <formula>WEEKDAY(#REF!)=1</formula>
    </cfRule>
    <cfRule type="expression" dxfId="443" priority="545" stopIfTrue="1">
      <formula>WEEKDAY(#REF!)=7</formula>
    </cfRule>
    <cfRule type="expression" dxfId="442" priority="546" stopIfTrue="1">
      <formula>AJ39="祝祭日等"</formula>
    </cfRule>
  </conditionalFormatting>
  <conditionalFormatting sqref="J39">
    <cfRule type="expression" dxfId="441" priority="547" stopIfTrue="1">
      <formula>WEEKDAY(#REF!)=1</formula>
    </cfRule>
    <cfRule type="expression" dxfId="440" priority="548" stopIfTrue="1">
      <formula>WEEKDAY(#REF!)=7</formula>
    </cfRule>
    <cfRule type="expression" dxfId="439" priority="549" stopIfTrue="1">
      <formula>AL39="祝祭日等"</formula>
    </cfRule>
  </conditionalFormatting>
  <conditionalFormatting sqref="G40:I40">
    <cfRule type="expression" dxfId="438" priority="538" stopIfTrue="1">
      <formula>WEEKDAY(#REF!)=1</formula>
    </cfRule>
    <cfRule type="expression" dxfId="437" priority="539" stopIfTrue="1">
      <formula>WEEKDAY(#REF!)=7</formula>
    </cfRule>
    <cfRule type="expression" dxfId="436" priority="540" stopIfTrue="1">
      <formula>AJ40="祝祭日等"</formula>
    </cfRule>
  </conditionalFormatting>
  <conditionalFormatting sqref="J40">
    <cfRule type="expression" dxfId="435" priority="541" stopIfTrue="1">
      <formula>WEEKDAY(#REF!)=1</formula>
    </cfRule>
    <cfRule type="expression" dxfId="434" priority="542" stopIfTrue="1">
      <formula>WEEKDAY(#REF!)=7</formula>
    </cfRule>
    <cfRule type="expression" dxfId="433" priority="543" stopIfTrue="1">
      <formula>AL40="祝祭日等"</formula>
    </cfRule>
  </conditionalFormatting>
  <conditionalFormatting sqref="G41:I41">
    <cfRule type="expression" dxfId="432" priority="532" stopIfTrue="1">
      <formula>WEEKDAY(#REF!)=1</formula>
    </cfRule>
    <cfRule type="expression" dxfId="431" priority="533" stopIfTrue="1">
      <formula>WEEKDAY(#REF!)=7</formula>
    </cfRule>
    <cfRule type="expression" dxfId="430" priority="534" stopIfTrue="1">
      <formula>AJ41="祝祭日等"</formula>
    </cfRule>
  </conditionalFormatting>
  <conditionalFormatting sqref="J41">
    <cfRule type="expression" dxfId="429" priority="535" stopIfTrue="1">
      <formula>WEEKDAY(#REF!)=1</formula>
    </cfRule>
    <cfRule type="expression" dxfId="428" priority="536" stopIfTrue="1">
      <formula>WEEKDAY(#REF!)=7</formula>
    </cfRule>
    <cfRule type="expression" dxfId="427" priority="537" stopIfTrue="1">
      <formula>AL41="祝祭日等"</formula>
    </cfRule>
  </conditionalFormatting>
  <conditionalFormatting sqref="G42:I42">
    <cfRule type="expression" dxfId="426" priority="526" stopIfTrue="1">
      <formula>WEEKDAY(#REF!)=1</formula>
    </cfRule>
    <cfRule type="expression" dxfId="425" priority="527" stopIfTrue="1">
      <formula>WEEKDAY(#REF!)=7</formula>
    </cfRule>
    <cfRule type="expression" dxfId="424" priority="528" stopIfTrue="1">
      <formula>AJ42="祝祭日等"</formula>
    </cfRule>
  </conditionalFormatting>
  <conditionalFormatting sqref="J42">
    <cfRule type="expression" dxfId="423" priority="529" stopIfTrue="1">
      <formula>WEEKDAY(#REF!)=1</formula>
    </cfRule>
    <cfRule type="expression" dxfId="422" priority="530" stopIfTrue="1">
      <formula>WEEKDAY(#REF!)=7</formula>
    </cfRule>
    <cfRule type="expression" dxfId="421" priority="531" stopIfTrue="1">
      <formula>AL42="祝祭日等"</formula>
    </cfRule>
  </conditionalFormatting>
  <conditionalFormatting sqref="K14">
    <cfRule type="expression" dxfId="420" priority="517" stopIfTrue="1">
      <formula>WEEKDAY(F14)=1</formula>
    </cfRule>
    <cfRule type="expression" dxfId="419" priority="518" stopIfTrue="1">
      <formula>WEEKDAY(F14)=7</formula>
    </cfRule>
    <cfRule type="expression" dxfId="418" priority="519" stopIfTrue="1">
      <formula>#REF!="祝祭日等"</formula>
    </cfRule>
  </conditionalFormatting>
  <conditionalFormatting sqref="O14">
    <cfRule type="expression" dxfId="417" priority="514" stopIfTrue="1">
      <formula>WEEKDAY(I14)=1</formula>
    </cfRule>
    <cfRule type="expression" dxfId="416" priority="515" stopIfTrue="1">
      <formula>WEEKDAY(I14)=7</formula>
    </cfRule>
    <cfRule type="expression" dxfId="415" priority="516" stopIfTrue="1">
      <formula>AI14="祝祭日等"</formula>
    </cfRule>
  </conditionalFormatting>
  <conditionalFormatting sqref="K15">
    <cfRule type="expression" dxfId="414" priority="511" stopIfTrue="1">
      <formula>WEEKDAY(F15)=1</formula>
    </cfRule>
    <cfRule type="expression" dxfId="413" priority="512" stopIfTrue="1">
      <formula>WEEKDAY(F15)=7</formula>
    </cfRule>
    <cfRule type="expression" dxfId="412" priority="513" stopIfTrue="1">
      <formula>#REF!="祝祭日等"</formula>
    </cfRule>
  </conditionalFormatting>
  <conditionalFormatting sqref="O15">
    <cfRule type="expression" dxfId="411" priority="508" stopIfTrue="1">
      <formula>WEEKDAY(I15)=1</formula>
    </cfRule>
    <cfRule type="expression" dxfId="410" priority="509" stopIfTrue="1">
      <formula>WEEKDAY(I15)=7</formula>
    </cfRule>
    <cfRule type="expression" dxfId="409" priority="510" stopIfTrue="1">
      <formula>AI15="祝祭日等"</formula>
    </cfRule>
  </conditionalFormatting>
  <conditionalFormatting sqref="K16">
    <cfRule type="expression" dxfId="408" priority="505" stopIfTrue="1">
      <formula>WEEKDAY(F16)=1</formula>
    </cfRule>
    <cfRule type="expression" dxfId="407" priority="506" stopIfTrue="1">
      <formula>WEEKDAY(F16)=7</formula>
    </cfRule>
    <cfRule type="expression" dxfId="406" priority="507" stopIfTrue="1">
      <formula>#REF!="祝祭日等"</formula>
    </cfRule>
  </conditionalFormatting>
  <conditionalFormatting sqref="K17:K20">
    <cfRule type="expression" dxfId="405" priority="499" stopIfTrue="1">
      <formula>WEEKDAY(F17)=1</formula>
    </cfRule>
    <cfRule type="expression" dxfId="404" priority="500" stopIfTrue="1">
      <formula>WEEKDAY(F17)=7</formula>
    </cfRule>
    <cfRule type="expression" dxfId="403" priority="501" stopIfTrue="1">
      <formula>#REF!="祝祭日等"</formula>
    </cfRule>
  </conditionalFormatting>
  <conditionalFormatting sqref="O17:O18">
    <cfRule type="expression" dxfId="402" priority="496" stopIfTrue="1">
      <formula>WEEKDAY(I17)=1</formula>
    </cfRule>
    <cfRule type="expression" dxfId="401" priority="497" stopIfTrue="1">
      <formula>WEEKDAY(I17)=7</formula>
    </cfRule>
    <cfRule type="expression" dxfId="400" priority="498" stopIfTrue="1">
      <formula>AI17="祝祭日等"</formula>
    </cfRule>
  </conditionalFormatting>
  <conditionalFormatting sqref="O20">
    <cfRule type="expression" dxfId="399" priority="478" stopIfTrue="1">
      <formula>WEEKDAY(I20)=1</formula>
    </cfRule>
    <cfRule type="expression" dxfId="398" priority="479" stopIfTrue="1">
      <formula>WEEKDAY(I20)=7</formula>
    </cfRule>
    <cfRule type="expression" dxfId="397" priority="480" stopIfTrue="1">
      <formula>AI20="祝祭日等"</formula>
    </cfRule>
  </conditionalFormatting>
  <conditionalFormatting sqref="O24">
    <cfRule type="expression" dxfId="396" priority="454" stopIfTrue="1">
      <formula>WEEKDAY(I24)=1</formula>
    </cfRule>
    <cfRule type="expression" dxfId="395" priority="455" stopIfTrue="1">
      <formula>WEEKDAY(I24)=7</formula>
    </cfRule>
    <cfRule type="expression" dxfId="394" priority="456" stopIfTrue="1">
      <formula>AI24="祝祭日等"</formula>
    </cfRule>
  </conditionalFormatting>
  <conditionalFormatting sqref="O25">
    <cfRule type="expression" dxfId="393" priority="448" stopIfTrue="1">
      <formula>WEEKDAY(I25)=1</formula>
    </cfRule>
    <cfRule type="expression" dxfId="392" priority="449" stopIfTrue="1">
      <formula>WEEKDAY(I25)=7</formula>
    </cfRule>
    <cfRule type="expression" dxfId="391" priority="450" stopIfTrue="1">
      <formula>AI25="祝祭日等"</formula>
    </cfRule>
  </conditionalFormatting>
  <conditionalFormatting sqref="O26">
    <cfRule type="expression" dxfId="390" priority="442" stopIfTrue="1">
      <formula>WEEKDAY(I26)=1</formula>
    </cfRule>
    <cfRule type="expression" dxfId="389" priority="443" stopIfTrue="1">
      <formula>WEEKDAY(I26)=7</formula>
    </cfRule>
    <cfRule type="expression" dxfId="388" priority="444" stopIfTrue="1">
      <formula>AI26="祝祭日等"</formula>
    </cfRule>
  </conditionalFormatting>
  <conditionalFormatting sqref="O27">
    <cfRule type="expression" dxfId="387" priority="436" stopIfTrue="1">
      <formula>WEEKDAY(I27)=1</formula>
    </cfRule>
    <cfRule type="expression" dxfId="386" priority="437" stopIfTrue="1">
      <formula>WEEKDAY(I27)=7</formula>
    </cfRule>
    <cfRule type="expression" dxfId="385" priority="438" stopIfTrue="1">
      <formula>AI27="祝祭日等"</formula>
    </cfRule>
  </conditionalFormatting>
  <conditionalFormatting sqref="O29">
    <cfRule type="expression" dxfId="384" priority="424" stopIfTrue="1">
      <formula>WEEKDAY(I29)=1</formula>
    </cfRule>
    <cfRule type="expression" dxfId="383" priority="425" stopIfTrue="1">
      <formula>WEEKDAY(I29)=7</formula>
    </cfRule>
    <cfRule type="expression" dxfId="382" priority="426" stopIfTrue="1">
      <formula>AI29="祝祭日等"</formula>
    </cfRule>
  </conditionalFormatting>
  <conditionalFormatting sqref="O30">
    <cfRule type="expression" dxfId="381" priority="418" stopIfTrue="1">
      <formula>WEEKDAY(I30)=1</formula>
    </cfRule>
    <cfRule type="expression" dxfId="380" priority="419" stopIfTrue="1">
      <formula>WEEKDAY(I30)=7</formula>
    </cfRule>
    <cfRule type="expression" dxfId="379" priority="420" stopIfTrue="1">
      <formula>AI30="祝祭日等"</formula>
    </cfRule>
  </conditionalFormatting>
  <conditionalFormatting sqref="O31">
    <cfRule type="expression" dxfId="378" priority="412" stopIfTrue="1">
      <formula>WEEKDAY(I31)=1</formula>
    </cfRule>
    <cfRule type="expression" dxfId="377" priority="413" stopIfTrue="1">
      <formula>WEEKDAY(I31)=7</formula>
    </cfRule>
    <cfRule type="expression" dxfId="376" priority="414" stopIfTrue="1">
      <formula>AI31="祝祭日等"</formula>
    </cfRule>
  </conditionalFormatting>
  <conditionalFormatting sqref="O32">
    <cfRule type="expression" dxfId="375" priority="406" stopIfTrue="1">
      <formula>WEEKDAY(I32)=1</formula>
    </cfRule>
    <cfRule type="expression" dxfId="374" priority="407" stopIfTrue="1">
      <formula>WEEKDAY(I32)=7</formula>
    </cfRule>
    <cfRule type="expression" dxfId="373" priority="408" stopIfTrue="1">
      <formula>AI32="祝祭日等"</formula>
    </cfRule>
  </conditionalFormatting>
  <conditionalFormatting sqref="O33">
    <cfRule type="expression" dxfId="372" priority="400" stopIfTrue="1">
      <formula>WEEKDAY(I33)=1</formula>
    </cfRule>
    <cfRule type="expression" dxfId="371" priority="401" stopIfTrue="1">
      <formula>WEEKDAY(I33)=7</formula>
    </cfRule>
    <cfRule type="expression" dxfId="370" priority="402" stopIfTrue="1">
      <formula>AI33="祝祭日等"</formula>
    </cfRule>
  </conditionalFormatting>
  <conditionalFormatting sqref="O34">
    <cfRule type="expression" dxfId="369" priority="394" stopIfTrue="1">
      <formula>WEEKDAY(I34)=1</formula>
    </cfRule>
    <cfRule type="expression" dxfId="368" priority="395" stopIfTrue="1">
      <formula>WEEKDAY(I34)=7</formula>
    </cfRule>
    <cfRule type="expression" dxfId="367" priority="396" stopIfTrue="1">
      <formula>AI34="祝祭日等"</formula>
    </cfRule>
  </conditionalFormatting>
  <conditionalFormatting sqref="K35">
    <cfRule type="expression" dxfId="366" priority="391" stopIfTrue="1">
      <formula>WEEKDAY(F35)=1</formula>
    </cfRule>
    <cfRule type="expression" dxfId="365" priority="392" stopIfTrue="1">
      <formula>WEEKDAY(F35)=7</formula>
    </cfRule>
    <cfRule type="expression" dxfId="364" priority="393" stopIfTrue="1">
      <formula>#REF!="祝祭日等"</formula>
    </cfRule>
  </conditionalFormatting>
  <conditionalFormatting sqref="O35">
    <cfRule type="expression" dxfId="363" priority="388" stopIfTrue="1">
      <formula>WEEKDAY(I35)=1</formula>
    </cfRule>
    <cfRule type="expression" dxfId="362" priority="389" stopIfTrue="1">
      <formula>WEEKDAY(I35)=7</formula>
    </cfRule>
    <cfRule type="expression" dxfId="361" priority="390" stopIfTrue="1">
      <formula>AI35="祝祭日等"</formula>
    </cfRule>
  </conditionalFormatting>
  <conditionalFormatting sqref="O39">
    <cfRule type="expression" dxfId="360" priority="370" stopIfTrue="1">
      <formula>WEEKDAY(I39)=1</formula>
    </cfRule>
    <cfRule type="expression" dxfId="359" priority="371" stopIfTrue="1">
      <formula>WEEKDAY(I39)=7</formula>
    </cfRule>
    <cfRule type="expression" dxfId="358" priority="372" stopIfTrue="1">
      <formula>AI39="祝祭日等"</formula>
    </cfRule>
  </conditionalFormatting>
  <conditionalFormatting sqref="K41">
    <cfRule type="expression" dxfId="357" priority="361" stopIfTrue="1">
      <formula>WEEKDAY(F41)=1</formula>
    </cfRule>
    <cfRule type="expression" dxfId="356" priority="362" stopIfTrue="1">
      <formula>WEEKDAY(F41)=7</formula>
    </cfRule>
    <cfRule type="expression" dxfId="355" priority="363" stopIfTrue="1">
      <formula>#REF!="祝祭日等"</formula>
    </cfRule>
  </conditionalFormatting>
  <conditionalFormatting sqref="O41">
    <cfRule type="expression" dxfId="354" priority="358" stopIfTrue="1">
      <formula>WEEKDAY(I41)=1</formula>
    </cfRule>
    <cfRule type="expression" dxfId="353" priority="359" stopIfTrue="1">
      <formula>WEEKDAY(I41)=7</formula>
    </cfRule>
    <cfRule type="expression" dxfId="352" priority="360" stopIfTrue="1">
      <formula>AI41="祝祭日等"</formula>
    </cfRule>
  </conditionalFormatting>
  <conditionalFormatting sqref="K42">
    <cfRule type="expression" dxfId="351" priority="355" stopIfTrue="1">
      <formula>WEEKDAY(F42)=1</formula>
    </cfRule>
    <cfRule type="expression" dxfId="350" priority="356" stopIfTrue="1">
      <formula>WEEKDAY(F42)=7</formula>
    </cfRule>
    <cfRule type="expression" dxfId="349" priority="357" stopIfTrue="1">
      <formula>#REF!="祝祭日等"</formula>
    </cfRule>
  </conditionalFormatting>
  <conditionalFormatting sqref="O42">
    <cfRule type="expression" dxfId="348" priority="352" stopIfTrue="1">
      <formula>WEEKDAY(I42)=1</formula>
    </cfRule>
    <cfRule type="expression" dxfId="347" priority="353" stopIfTrue="1">
      <formula>WEEKDAY(I42)=7</formula>
    </cfRule>
    <cfRule type="expression" dxfId="346" priority="354" stopIfTrue="1">
      <formula>AI42="祝祭日等"</formula>
    </cfRule>
  </conditionalFormatting>
  <conditionalFormatting sqref="BB55:BD56">
    <cfRule type="expression" dxfId="345" priority="1622" stopIfTrue="1">
      <formula>WEEKDAY(T39)=1</formula>
    </cfRule>
    <cfRule type="expression" dxfId="344" priority="1623" stopIfTrue="1">
      <formula>WEEKDAY(T39)=7</formula>
    </cfRule>
  </conditionalFormatting>
  <conditionalFormatting sqref="Y39:AA40">
    <cfRule type="expression" dxfId="343" priority="1627" stopIfTrue="1">
      <formula>WEEKDAY(BC55)=1</formula>
    </cfRule>
    <cfRule type="expression" dxfId="342" priority="1628" stopIfTrue="1">
      <formula>WEEKDAY(BC55)=7</formula>
    </cfRule>
    <cfRule type="expression" dxfId="341" priority="1629" stopIfTrue="1">
      <formula>#REF!="祝祭日等"</formula>
    </cfRule>
  </conditionalFormatting>
  <conditionalFormatting sqref="BE55:BG56">
    <cfRule type="expression" dxfId="340" priority="1633" stopIfTrue="1">
      <formula>WEEKDAY(W39)=1</formula>
    </cfRule>
    <cfRule type="expression" dxfId="339" priority="1634" stopIfTrue="1">
      <formula>WEEKDAY(W39)=7</formula>
    </cfRule>
    <cfRule type="expression" dxfId="338" priority="1635" stopIfTrue="1">
      <formula>#REF!="祝祭日等"</formula>
    </cfRule>
  </conditionalFormatting>
  <conditionalFormatting sqref="AB39:AB40">
    <cfRule type="expression" dxfId="337" priority="1642" stopIfTrue="1">
      <formula>WEEKDAY(BE55)=1</formula>
    </cfRule>
    <cfRule type="expression" dxfId="336" priority="1643" stopIfTrue="1">
      <formula>WEEKDAY(BE55)=7</formula>
    </cfRule>
    <cfRule type="expression" dxfId="335" priority="1644" stopIfTrue="1">
      <formula>CD41="祝祭日等"</formula>
    </cfRule>
  </conditionalFormatting>
  <conditionalFormatting sqref="BA62:BC62">
    <cfRule type="expression" dxfId="334" priority="1647" stopIfTrue="1">
      <formula>WEEKDAY(T42)=1</formula>
    </cfRule>
    <cfRule type="expression" dxfId="333" priority="1648" stopIfTrue="1">
      <formula>WEEKDAY(T42)=7</formula>
    </cfRule>
  </conditionalFormatting>
  <conditionalFormatting sqref="BD62:BF62">
    <cfRule type="expression" dxfId="332" priority="1652" stopIfTrue="1">
      <formula>WEEKDAY(W42)=1</formula>
    </cfRule>
    <cfRule type="expression" dxfId="331" priority="1653" stopIfTrue="1">
      <formula>WEEKDAY(W42)=7</formula>
    </cfRule>
    <cfRule type="expression" dxfId="330" priority="1654" stopIfTrue="1">
      <formula>#REF!="祝祭日等"</formula>
    </cfRule>
  </conditionalFormatting>
  <conditionalFormatting sqref="BA61:BC61">
    <cfRule type="expression" dxfId="329" priority="1657" stopIfTrue="1">
      <formula>WEEKDAY(T42)=1</formula>
    </cfRule>
    <cfRule type="expression" dxfId="328" priority="1658" stopIfTrue="1">
      <formula>WEEKDAY(T42)=7</formula>
    </cfRule>
  </conditionalFormatting>
  <conditionalFormatting sqref="BD61:BF61">
    <cfRule type="expression" dxfId="327" priority="1662" stopIfTrue="1">
      <formula>WEEKDAY(W42)=1</formula>
    </cfRule>
    <cfRule type="expression" dxfId="326" priority="1663" stopIfTrue="1">
      <formula>WEEKDAY(W42)=7</formula>
    </cfRule>
    <cfRule type="expression" dxfId="325" priority="1664" stopIfTrue="1">
      <formula>#REF!="祝祭日等"</formula>
    </cfRule>
  </conditionalFormatting>
  <conditionalFormatting sqref="AB42">
    <cfRule type="expression" dxfId="324" priority="1665" stopIfTrue="1">
      <formula>WEEKDAY(BD65)=1</formula>
    </cfRule>
    <cfRule type="expression" dxfId="323" priority="1666" stopIfTrue="1">
      <formula>WEEKDAY(BD65)=7</formula>
    </cfRule>
    <cfRule type="expression" dxfId="322" priority="1667" stopIfTrue="1">
      <formula>CA44="祝祭日等"</formula>
    </cfRule>
  </conditionalFormatting>
  <conditionalFormatting sqref="K14">
    <cfRule type="expression" dxfId="321" priority="349" stopIfTrue="1">
      <formula>WEEKDAY(F14)=1</formula>
    </cfRule>
    <cfRule type="expression" dxfId="320" priority="350" stopIfTrue="1">
      <formula>WEEKDAY(F14)=7</formula>
    </cfRule>
    <cfRule type="expression" dxfId="319" priority="351" stopIfTrue="1">
      <formula>#REF!="祝祭日等"</formula>
    </cfRule>
  </conditionalFormatting>
  <conditionalFormatting sqref="O14">
    <cfRule type="expression" dxfId="318" priority="346" stopIfTrue="1">
      <formula>WEEKDAY(I14)=1</formula>
    </cfRule>
    <cfRule type="expression" dxfId="317" priority="347" stopIfTrue="1">
      <formula>WEEKDAY(I14)=7</formula>
    </cfRule>
    <cfRule type="expression" dxfId="316" priority="348" stopIfTrue="1">
      <formula>AI14="祝祭日等"</formula>
    </cfRule>
  </conditionalFormatting>
  <conditionalFormatting sqref="G18:I21">
    <cfRule type="expression" dxfId="315" priority="343" stopIfTrue="1">
      <formula>WEEKDAY(#REF!)=1</formula>
    </cfRule>
    <cfRule type="expression" dxfId="314" priority="344" stopIfTrue="1">
      <formula>WEEKDAY(#REF!)=7</formula>
    </cfRule>
    <cfRule type="expression" dxfId="313" priority="345" stopIfTrue="1">
      <formula>AJ18="祝祭日等"</formula>
    </cfRule>
  </conditionalFormatting>
  <conditionalFormatting sqref="J18:J21">
    <cfRule type="expression" dxfId="312" priority="340" stopIfTrue="1">
      <formula>WEEKDAY(#REF!)=1</formula>
    </cfRule>
    <cfRule type="expression" dxfId="311" priority="341" stopIfTrue="1">
      <formula>WEEKDAY(#REF!)=7</formula>
    </cfRule>
    <cfRule type="expression" dxfId="310" priority="342" stopIfTrue="1">
      <formula>AL18="祝祭日等"</formula>
    </cfRule>
  </conditionalFormatting>
  <conditionalFormatting sqref="O20">
    <cfRule type="expression" dxfId="309" priority="334" stopIfTrue="1">
      <formula>WEEKDAY(I20)=1</formula>
    </cfRule>
    <cfRule type="expression" dxfId="308" priority="335" stopIfTrue="1">
      <formula>WEEKDAY(I20)=7</formula>
    </cfRule>
    <cfRule type="expression" dxfId="307" priority="336" stopIfTrue="1">
      <formula>AI20="祝祭日等"</formula>
    </cfRule>
  </conditionalFormatting>
  <conditionalFormatting sqref="O20">
    <cfRule type="expression" dxfId="306" priority="328" stopIfTrue="1">
      <formula>WEEKDAY(I20)=1</formula>
    </cfRule>
    <cfRule type="expression" dxfId="305" priority="329" stopIfTrue="1">
      <formula>WEEKDAY(I20)=7</formula>
    </cfRule>
    <cfRule type="expression" dxfId="304" priority="330" stopIfTrue="1">
      <formula>AI20="祝祭日等"</formula>
    </cfRule>
  </conditionalFormatting>
  <conditionalFormatting sqref="G24:I24">
    <cfRule type="expression" dxfId="303" priority="325" stopIfTrue="1">
      <formula>WEEKDAY(#REF!)=1</formula>
    </cfRule>
    <cfRule type="expression" dxfId="302" priority="326" stopIfTrue="1">
      <formula>WEEKDAY(#REF!)=7</formula>
    </cfRule>
    <cfRule type="expression" dxfId="301" priority="327" stopIfTrue="1">
      <formula>AJ24="祝祭日等"</formula>
    </cfRule>
  </conditionalFormatting>
  <conditionalFormatting sqref="J24">
    <cfRule type="expression" dxfId="300" priority="322" stopIfTrue="1">
      <formula>WEEKDAY(#REF!)=1</formula>
    </cfRule>
    <cfRule type="expression" dxfId="299" priority="323" stopIfTrue="1">
      <formula>WEEKDAY(#REF!)=7</formula>
    </cfRule>
    <cfRule type="expression" dxfId="298" priority="324" stopIfTrue="1">
      <formula>AL24="祝祭日等"</formula>
    </cfRule>
  </conditionalFormatting>
  <conditionalFormatting sqref="O24">
    <cfRule type="expression" dxfId="297" priority="316" stopIfTrue="1">
      <formula>WEEKDAY(I24)=1</formula>
    </cfRule>
    <cfRule type="expression" dxfId="296" priority="317" stopIfTrue="1">
      <formula>WEEKDAY(I24)=7</formula>
    </cfRule>
    <cfRule type="expression" dxfId="295" priority="318" stopIfTrue="1">
      <formula>AI24="祝祭日等"</formula>
    </cfRule>
  </conditionalFormatting>
  <conditionalFormatting sqref="G24:I24">
    <cfRule type="expression" dxfId="294" priority="313" stopIfTrue="1">
      <formula>WEEKDAY(#REF!)=1</formula>
    </cfRule>
    <cfRule type="expression" dxfId="293" priority="314" stopIfTrue="1">
      <formula>WEEKDAY(#REF!)=7</formula>
    </cfRule>
    <cfRule type="expression" dxfId="292" priority="315" stopIfTrue="1">
      <formula>AJ24="祝祭日等"</formula>
    </cfRule>
  </conditionalFormatting>
  <conditionalFormatting sqref="J24">
    <cfRule type="expression" dxfId="291" priority="310" stopIfTrue="1">
      <formula>WEEKDAY(#REF!)=1</formula>
    </cfRule>
    <cfRule type="expression" dxfId="290" priority="311" stopIfTrue="1">
      <formula>WEEKDAY(#REF!)=7</formula>
    </cfRule>
    <cfRule type="expression" dxfId="289" priority="312" stopIfTrue="1">
      <formula>AL24="祝祭日等"</formula>
    </cfRule>
  </conditionalFormatting>
  <conditionalFormatting sqref="O24">
    <cfRule type="expression" dxfId="288" priority="304" stopIfTrue="1">
      <formula>WEEKDAY(I24)=1</formula>
    </cfRule>
    <cfRule type="expression" dxfId="287" priority="305" stopIfTrue="1">
      <formula>WEEKDAY(I24)=7</formula>
    </cfRule>
    <cfRule type="expression" dxfId="286" priority="306" stopIfTrue="1">
      <formula>AI24="祝祭日等"</formula>
    </cfRule>
  </conditionalFormatting>
  <conditionalFormatting sqref="O24">
    <cfRule type="expression" dxfId="285" priority="298" stopIfTrue="1">
      <formula>WEEKDAY(I24)=1</formula>
    </cfRule>
    <cfRule type="expression" dxfId="284" priority="299" stopIfTrue="1">
      <formula>WEEKDAY(I24)=7</formula>
    </cfRule>
    <cfRule type="expression" dxfId="283" priority="300" stopIfTrue="1">
      <formula>AI24="祝祭日等"</formula>
    </cfRule>
  </conditionalFormatting>
  <conditionalFormatting sqref="G25:I25">
    <cfRule type="expression" dxfId="282" priority="295" stopIfTrue="1">
      <formula>WEEKDAY(#REF!)=1</formula>
    </cfRule>
    <cfRule type="expression" dxfId="281" priority="296" stopIfTrue="1">
      <formula>WEEKDAY(#REF!)=7</formula>
    </cfRule>
    <cfRule type="expression" dxfId="280" priority="297" stopIfTrue="1">
      <formula>AJ25="祝祭日等"</formula>
    </cfRule>
  </conditionalFormatting>
  <conditionalFormatting sqref="J25">
    <cfRule type="expression" dxfId="279" priority="292" stopIfTrue="1">
      <formula>WEEKDAY(#REF!)=1</formula>
    </cfRule>
    <cfRule type="expression" dxfId="278" priority="293" stopIfTrue="1">
      <formula>WEEKDAY(#REF!)=7</formula>
    </cfRule>
    <cfRule type="expression" dxfId="277" priority="294" stopIfTrue="1">
      <formula>AL25="祝祭日等"</formula>
    </cfRule>
  </conditionalFormatting>
  <conditionalFormatting sqref="O25">
    <cfRule type="expression" dxfId="276" priority="286" stopIfTrue="1">
      <formula>WEEKDAY(I25)=1</formula>
    </cfRule>
    <cfRule type="expression" dxfId="275" priority="287" stopIfTrue="1">
      <formula>WEEKDAY(I25)=7</formula>
    </cfRule>
    <cfRule type="expression" dxfId="274" priority="288" stopIfTrue="1">
      <formula>AI25="祝祭日等"</formula>
    </cfRule>
  </conditionalFormatting>
  <conditionalFormatting sqref="G25:I25">
    <cfRule type="expression" dxfId="273" priority="283" stopIfTrue="1">
      <formula>WEEKDAY(#REF!)=1</formula>
    </cfRule>
    <cfRule type="expression" dxfId="272" priority="284" stopIfTrue="1">
      <formula>WEEKDAY(#REF!)=7</formula>
    </cfRule>
    <cfRule type="expression" dxfId="271" priority="285" stopIfTrue="1">
      <formula>AJ25="祝祭日等"</formula>
    </cfRule>
  </conditionalFormatting>
  <conditionalFormatting sqref="J25">
    <cfRule type="expression" dxfId="270" priority="280" stopIfTrue="1">
      <formula>WEEKDAY(#REF!)=1</formula>
    </cfRule>
    <cfRule type="expression" dxfId="269" priority="281" stopIfTrue="1">
      <formula>WEEKDAY(#REF!)=7</formula>
    </cfRule>
    <cfRule type="expression" dxfId="268" priority="282" stopIfTrue="1">
      <formula>AL25="祝祭日等"</formula>
    </cfRule>
  </conditionalFormatting>
  <conditionalFormatting sqref="O25">
    <cfRule type="expression" dxfId="267" priority="274" stopIfTrue="1">
      <formula>WEEKDAY(I25)=1</formula>
    </cfRule>
    <cfRule type="expression" dxfId="266" priority="275" stopIfTrue="1">
      <formula>WEEKDAY(I25)=7</formula>
    </cfRule>
    <cfRule type="expression" dxfId="265" priority="276" stopIfTrue="1">
      <formula>AI25="祝祭日等"</formula>
    </cfRule>
  </conditionalFormatting>
  <conditionalFormatting sqref="O25">
    <cfRule type="expression" dxfId="264" priority="268" stopIfTrue="1">
      <formula>WEEKDAY(I25)=1</formula>
    </cfRule>
    <cfRule type="expression" dxfId="263" priority="269" stopIfTrue="1">
      <formula>WEEKDAY(I25)=7</formula>
    </cfRule>
    <cfRule type="expression" dxfId="262" priority="270" stopIfTrue="1">
      <formula>AI25="祝祭日等"</formula>
    </cfRule>
  </conditionalFormatting>
  <conditionalFormatting sqref="G26:I26">
    <cfRule type="expression" dxfId="261" priority="265" stopIfTrue="1">
      <formula>WEEKDAY(#REF!)=1</formula>
    </cfRule>
    <cfRule type="expression" dxfId="260" priority="266" stopIfTrue="1">
      <formula>WEEKDAY(#REF!)=7</formula>
    </cfRule>
    <cfRule type="expression" dxfId="259" priority="267" stopIfTrue="1">
      <formula>AJ26="祝祭日等"</formula>
    </cfRule>
  </conditionalFormatting>
  <conditionalFormatting sqref="J26">
    <cfRule type="expression" dxfId="258" priority="262" stopIfTrue="1">
      <formula>WEEKDAY(#REF!)=1</formula>
    </cfRule>
    <cfRule type="expression" dxfId="257" priority="263" stopIfTrue="1">
      <formula>WEEKDAY(#REF!)=7</formula>
    </cfRule>
    <cfRule type="expression" dxfId="256" priority="264" stopIfTrue="1">
      <formula>AL26="祝祭日等"</formula>
    </cfRule>
  </conditionalFormatting>
  <conditionalFormatting sqref="O26">
    <cfRule type="expression" dxfId="255" priority="256" stopIfTrue="1">
      <formula>WEEKDAY(I26)=1</formula>
    </cfRule>
    <cfRule type="expression" dxfId="254" priority="257" stopIfTrue="1">
      <formula>WEEKDAY(I26)=7</formula>
    </cfRule>
    <cfRule type="expression" dxfId="253" priority="258" stopIfTrue="1">
      <formula>AI26="祝祭日等"</formula>
    </cfRule>
  </conditionalFormatting>
  <conditionalFormatting sqref="G26:I26">
    <cfRule type="expression" dxfId="252" priority="253" stopIfTrue="1">
      <formula>WEEKDAY(#REF!)=1</formula>
    </cfRule>
    <cfRule type="expression" dxfId="251" priority="254" stopIfTrue="1">
      <formula>WEEKDAY(#REF!)=7</formula>
    </cfRule>
    <cfRule type="expression" dxfId="250" priority="255" stopIfTrue="1">
      <formula>AJ26="祝祭日等"</formula>
    </cfRule>
  </conditionalFormatting>
  <conditionalFormatting sqref="J26">
    <cfRule type="expression" dxfId="249" priority="250" stopIfTrue="1">
      <formula>WEEKDAY(#REF!)=1</formula>
    </cfRule>
    <cfRule type="expression" dxfId="248" priority="251" stopIfTrue="1">
      <formula>WEEKDAY(#REF!)=7</formula>
    </cfRule>
    <cfRule type="expression" dxfId="247" priority="252" stopIfTrue="1">
      <formula>AL26="祝祭日等"</formula>
    </cfRule>
  </conditionalFormatting>
  <conditionalFormatting sqref="O26">
    <cfRule type="expression" dxfId="246" priority="244" stopIfTrue="1">
      <formula>WEEKDAY(I26)=1</formula>
    </cfRule>
    <cfRule type="expression" dxfId="245" priority="245" stopIfTrue="1">
      <formula>WEEKDAY(I26)=7</formula>
    </cfRule>
    <cfRule type="expression" dxfId="244" priority="246" stopIfTrue="1">
      <formula>AI26="祝祭日等"</formula>
    </cfRule>
  </conditionalFormatting>
  <conditionalFormatting sqref="G26:I26">
    <cfRule type="expression" dxfId="243" priority="241" stopIfTrue="1">
      <formula>WEEKDAY(#REF!)=1</formula>
    </cfRule>
    <cfRule type="expression" dxfId="242" priority="242" stopIfTrue="1">
      <formula>WEEKDAY(#REF!)=7</formula>
    </cfRule>
    <cfRule type="expression" dxfId="241" priority="243" stopIfTrue="1">
      <formula>AJ26="祝祭日等"</formula>
    </cfRule>
  </conditionalFormatting>
  <conditionalFormatting sqref="J26">
    <cfRule type="expression" dxfId="240" priority="238" stopIfTrue="1">
      <formula>WEEKDAY(#REF!)=1</formula>
    </cfRule>
    <cfRule type="expression" dxfId="239" priority="239" stopIfTrue="1">
      <formula>WEEKDAY(#REF!)=7</formula>
    </cfRule>
    <cfRule type="expression" dxfId="238" priority="240" stopIfTrue="1">
      <formula>AL26="祝祭日等"</formula>
    </cfRule>
  </conditionalFormatting>
  <conditionalFormatting sqref="O26">
    <cfRule type="expression" dxfId="237" priority="232" stopIfTrue="1">
      <formula>WEEKDAY(I26)=1</formula>
    </cfRule>
    <cfRule type="expression" dxfId="236" priority="233" stopIfTrue="1">
      <formula>WEEKDAY(I26)=7</formula>
    </cfRule>
    <cfRule type="expression" dxfId="235" priority="234" stopIfTrue="1">
      <formula>AI26="祝祭日等"</formula>
    </cfRule>
  </conditionalFormatting>
  <conditionalFormatting sqref="O26">
    <cfRule type="expression" dxfId="234" priority="226" stopIfTrue="1">
      <formula>WEEKDAY(I26)=1</formula>
    </cfRule>
    <cfRule type="expression" dxfId="233" priority="227" stopIfTrue="1">
      <formula>WEEKDAY(I26)=7</formula>
    </cfRule>
    <cfRule type="expression" dxfId="232" priority="228" stopIfTrue="1">
      <formula>AI26="祝祭日等"</formula>
    </cfRule>
  </conditionalFormatting>
  <conditionalFormatting sqref="G35:I35">
    <cfRule type="expression" dxfId="231" priority="223" stopIfTrue="1">
      <formula>WEEKDAY(#REF!)=1</formula>
    </cfRule>
    <cfRule type="expression" dxfId="230" priority="224" stopIfTrue="1">
      <formula>WEEKDAY(#REF!)=7</formula>
    </cfRule>
    <cfRule type="expression" dxfId="229" priority="225" stopIfTrue="1">
      <formula>AJ35="祝祭日等"</formula>
    </cfRule>
  </conditionalFormatting>
  <conditionalFormatting sqref="J35">
    <cfRule type="expression" dxfId="228" priority="220" stopIfTrue="1">
      <formula>WEEKDAY(#REF!)=1</formula>
    </cfRule>
    <cfRule type="expression" dxfId="227" priority="221" stopIfTrue="1">
      <formula>WEEKDAY(#REF!)=7</formula>
    </cfRule>
    <cfRule type="expression" dxfId="226" priority="222" stopIfTrue="1">
      <formula>AL35="祝祭日等"</formula>
    </cfRule>
  </conditionalFormatting>
  <conditionalFormatting sqref="K35">
    <cfRule type="expression" dxfId="225" priority="217" stopIfTrue="1">
      <formula>WEEKDAY(F35)=1</formula>
    </cfRule>
    <cfRule type="expression" dxfId="224" priority="218" stopIfTrue="1">
      <formula>WEEKDAY(F35)=7</formula>
    </cfRule>
    <cfRule type="expression" dxfId="223" priority="219" stopIfTrue="1">
      <formula>#REF!="祝祭日等"</formula>
    </cfRule>
  </conditionalFormatting>
  <conditionalFormatting sqref="O35">
    <cfRule type="expression" dxfId="222" priority="214" stopIfTrue="1">
      <formula>WEEKDAY(I35)=1</formula>
    </cfRule>
    <cfRule type="expression" dxfId="221" priority="215" stopIfTrue="1">
      <formula>WEEKDAY(I35)=7</formula>
    </cfRule>
    <cfRule type="expression" dxfId="220" priority="216" stopIfTrue="1">
      <formula>AI35="祝祭日等"</formula>
    </cfRule>
  </conditionalFormatting>
  <conditionalFormatting sqref="G39:I42">
    <cfRule type="expression" dxfId="219" priority="211" stopIfTrue="1">
      <formula>WEEKDAY(#REF!)=1</formula>
    </cfRule>
    <cfRule type="expression" dxfId="218" priority="212" stopIfTrue="1">
      <formula>WEEKDAY(#REF!)=7</formula>
    </cfRule>
    <cfRule type="expression" dxfId="217" priority="213" stopIfTrue="1">
      <formula>AJ39="祝祭日等"</formula>
    </cfRule>
  </conditionalFormatting>
  <conditionalFormatting sqref="J39:J42">
    <cfRule type="expression" dxfId="216" priority="208" stopIfTrue="1">
      <formula>WEEKDAY(#REF!)=1</formula>
    </cfRule>
    <cfRule type="expression" dxfId="215" priority="209" stopIfTrue="1">
      <formula>WEEKDAY(#REF!)=7</formula>
    </cfRule>
    <cfRule type="expression" dxfId="214" priority="210" stopIfTrue="1">
      <formula>AL39="祝祭日等"</formula>
    </cfRule>
  </conditionalFormatting>
  <conditionalFormatting sqref="K41:K42">
    <cfRule type="expression" dxfId="213" priority="205" stopIfTrue="1">
      <formula>WEEKDAY(F41)=1</formula>
    </cfRule>
    <cfRule type="expression" dxfId="212" priority="206" stopIfTrue="1">
      <formula>WEEKDAY(F41)=7</formula>
    </cfRule>
    <cfRule type="expression" dxfId="211" priority="207" stopIfTrue="1">
      <formula>#REF!="祝祭日等"</formula>
    </cfRule>
  </conditionalFormatting>
  <conditionalFormatting sqref="O39 O41:O42">
    <cfRule type="expression" dxfId="210" priority="202" stopIfTrue="1">
      <formula>WEEKDAY(I39)=1</formula>
    </cfRule>
    <cfRule type="expression" dxfId="209" priority="203" stopIfTrue="1">
      <formula>WEEKDAY(I39)=7</formula>
    </cfRule>
    <cfRule type="expression" dxfId="208" priority="204" stopIfTrue="1">
      <formula>AI39="祝祭日等"</formula>
    </cfRule>
  </conditionalFormatting>
  <conditionalFormatting sqref="G39:I42">
    <cfRule type="expression" dxfId="207" priority="199" stopIfTrue="1">
      <formula>WEEKDAY(#REF!)=1</formula>
    </cfRule>
    <cfRule type="expression" dxfId="206" priority="200" stopIfTrue="1">
      <formula>WEEKDAY(#REF!)=7</formula>
    </cfRule>
    <cfRule type="expression" dxfId="205" priority="201" stopIfTrue="1">
      <formula>AJ39="祝祭日等"</formula>
    </cfRule>
  </conditionalFormatting>
  <conditionalFormatting sqref="J39:J42">
    <cfRule type="expression" dxfId="204" priority="196" stopIfTrue="1">
      <formula>WEEKDAY(#REF!)=1</formula>
    </cfRule>
    <cfRule type="expression" dxfId="203" priority="197" stopIfTrue="1">
      <formula>WEEKDAY(#REF!)=7</formula>
    </cfRule>
    <cfRule type="expression" dxfId="202" priority="198" stopIfTrue="1">
      <formula>AL39="祝祭日等"</formula>
    </cfRule>
  </conditionalFormatting>
  <conditionalFormatting sqref="K41:K42">
    <cfRule type="expression" dxfId="201" priority="193" stopIfTrue="1">
      <formula>WEEKDAY(F41)=1</formula>
    </cfRule>
    <cfRule type="expression" dxfId="200" priority="194" stopIfTrue="1">
      <formula>WEEKDAY(F41)=7</formula>
    </cfRule>
    <cfRule type="expression" dxfId="199" priority="195" stopIfTrue="1">
      <formula>#REF!="祝祭日等"</formula>
    </cfRule>
  </conditionalFormatting>
  <conditionalFormatting sqref="O39 O41:O42">
    <cfRule type="expression" dxfId="198" priority="190" stopIfTrue="1">
      <formula>WEEKDAY(I39)=1</formula>
    </cfRule>
    <cfRule type="expression" dxfId="197" priority="191" stopIfTrue="1">
      <formula>WEEKDAY(I39)=7</formula>
    </cfRule>
    <cfRule type="expression" dxfId="196" priority="192" stopIfTrue="1">
      <formula>AI39="祝祭日等"</formula>
    </cfRule>
  </conditionalFormatting>
  <conditionalFormatting sqref="O16">
    <cfRule type="expression" dxfId="195" priority="187" stopIfTrue="1">
      <formula>WEEKDAY(I16)=1</formula>
    </cfRule>
    <cfRule type="expression" dxfId="194" priority="188" stopIfTrue="1">
      <formula>WEEKDAY(I16)=7</formula>
    </cfRule>
    <cfRule type="expression" dxfId="193" priority="189" stopIfTrue="1">
      <formula>AI16="祝祭日等"</formula>
    </cfRule>
  </conditionalFormatting>
  <conditionalFormatting sqref="O19">
    <cfRule type="expression" dxfId="192" priority="181" stopIfTrue="1">
      <formula>WEEKDAY(I19)=1</formula>
    </cfRule>
    <cfRule type="expression" dxfId="191" priority="182" stopIfTrue="1">
      <formula>WEEKDAY(I19)=7</formula>
    </cfRule>
    <cfRule type="expression" dxfId="190" priority="183" stopIfTrue="1">
      <formula>AI19="祝祭日等"</formula>
    </cfRule>
  </conditionalFormatting>
  <conditionalFormatting sqref="G23:I23">
    <cfRule type="expression" dxfId="189" priority="175" stopIfTrue="1">
      <formula>WEEKDAY(#REF!)=1</formula>
    </cfRule>
    <cfRule type="expression" dxfId="188" priority="176" stopIfTrue="1">
      <formula>WEEKDAY(#REF!)=7</formula>
    </cfRule>
    <cfRule type="expression" dxfId="187" priority="177" stopIfTrue="1">
      <formula>AJ23="祝祭日等"</formula>
    </cfRule>
  </conditionalFormatting>
  <conditionalFormatting sqref="J23">
    <cfRule type="expression" dxfId="186" priority="178" stopIfTrue="1">
      <formula>WEEKDAY(#REF!)=1</formula>
    </cfRule>
    <cfRule type="expression" dxfId="185" priority="179" stopIfTrue="1">
      <formula>WEEKDAY(#REF!)=7</formula>
    </cfRule>
    <cfRule type="expression" dxfId="184" priority="180" stopIfTrue="1">
      <formula>AL23="祝祭日等"</formula>
    </cfRule>
  </conditionalFormatting>
  <conditionalFormatting sqref="G23:I23">
    <cfRule type="expression" dxfId="183" priority="172" stopIfTrue="1">
      <formula>WEEKDAY(#REF!)=1</formula>
    </cfRule>
    <cfRule type="expression" dxfId="182" priority="173" stopIfTrue="1">
      <formula>WEEKDAY(#REF!)=7</formula>
    </cfRule>
    <cfRule type="expression" dxfId="181" priority="174" stopIfTrue="1">
      <formula>AJ23="祝祭日等"</formula>
    </cfRule>
  </conditionalFormatting>
  <conditionalFormatting sqref="J23">
    <cfRule type="expression" dxfId="180" priority="169" stopIfTrue="1">
      <formula>WEEKDAY(#REF!)=1</formula>
    </cfRule>
    <cfRule type="expression" dxfId="179" priority="170" stopIfTrue="1">
      <formula>WEEKDAY(#REF!)=7</formula>
    </cfRule>
    <cfRule type="expression" dxfId="178" priority="171" stopIfTrue="1">
      <formula>AL23="祝祭日等"</formula>
    </cfRule>
  </conditionalFormatting>
  <conditionalFormatting sqref="K23">
    <cfRule type="expression" dxfId="177" priority="166" stopIfTrue="1">
      <formula>WEEKDAY(F23)=1</formula>
    </cfRule>
    <cfRule type="expression" dxfId="176" priority="167" stopIfTrue="1">
      <formula>WEEKDAY(F23)=7</formula>
    </cfRule>
    <cfRule type="expression" dxfId="175" priority="168" stopIfTrue="1">
      <formula>#REF!="祝祭日等"</formula>
    </cfRule>
  </conditionalFormatting>
  <conditionalFormatting sqref="O23">
    <cfRule type="expression" dxfId="174" priority="163" stopIfTrue="1">
      <formula>WEEKDAY(I23)=1</formula>
    </cfRule>
    <cfRule type="expression" dxfId="173" priority="164" stopIfTrue="1">
      <formula>WEEKDAY(I23)=7</formula>
    </cfRule>
    <cfRule type="expression" dxfId="172" priority="165" stopIfTrue="1">
      <formula>AI23="祝祭日等"</formula>
    </cfRule>
  </conditionalFormatting>
  <conditionalFormatting sqref="G31:I31">
    <cfRule type="expression" dxfId="171" priority="145" stopIfTrue="1">
      <formula>WEEKDAY(#REF!)=1</formula>
    </cfRule>
    <cfRule type="expression" dxfId="170" priority="146" stopIfTrue="1">
      <formula>WEEKDAY(#REF!)=7</formula>
    </cfRule>
    <cfRule type="expression" dxfId="169" priority="147" stopIfTrue="1">
      <formula>AJ31="祝祭日等"</formula>
    </cfRule>
  </conditionalFormatting>
  <conditionalFormatting sqref="J31">
    <cfRule type="expression" dxfId="168" priority="148" stopIfTrue="1">
      <formula>WEEKDAY(#REF!)=1</formula>
    </cfRule>
    <cfRule type="expression" dxfId="167" priority="149" stopIfTrue="1">
      <formula>WEEKDAY(#REF!)=7</formula>
    </cfRule>
    <cfRule type="expression" dxfId="166" priority="150" stopIfTrue="1">
      <formula>AL31="祝祭日等"</formula>
    </cfRule>
  </conditionalFormatting>
  <conditionalFormatting sqref="G37:I37">
    <cfRule type="expression" dxfId="165" priority="139" stopIfTrue="1">
      <formula>WEEKDAY(#REF!)=1</formula>
    </cfRule>
    <cfRule type="expression" dxfId="164" priority="140" stopIfTrue="1">
      <formula>WEEKDAY(#REF!)=7</formula>
    </cfRule>
    <cfRule type="expression" dxfId="163" priority="141" stopIfTrue="1">
      <formula>AJ37="祝祭日等"</formula>
    </cfRule>
  </conditionalFormatting>
  <conditionalFormatting sqref="J37">
    <cfRule type="expression" dxfId="162" priority="142" stopIfTrue="1">
      <formula>WEEKDAY(#REF!)=1</formula>
    </cfRule>
    <cfRule type="expression" dxfId="161" priority="143" stopIfTrue="1">
      <formula>WEEKDAY(#REF!)=7</formula>
    </cfRule>
    <cfRule type="expression" dxfId="160" priority="144" stopIfTrue="1">
      <formula>AL37="祝祭日等"</formula>
    </cfRule>
  </conditionalFormatting>
  <conditionalFormatting sqref="G38:I38">
    <cfRule type="expression" dxfId="159" priority="130" stopIfTrue="1">
      <formula>WEEKDAY(#REF!)=1</formula>
    </cfRule>
    <cfRule type="expression" dxfId="158" priority="131" stopIfTrue="1">
      <formula>WEEKDAY(#REF!)=7</formula>
    </cfRule>
    <cfRule type="expression" dxfId="157" priority="132" stopIfTrue="1">
      <formula>AJ38="祝祭日等"</formula>
    </cfRule>
  </conditionalFormatting>
  <conditionalFormatting sqref="J38">
    <cfRule type="expression" dxfId="156" priority="133" stopIfTrue="1">
      <formula>WEEKDAY(#REF!)=1</formula>
    </cfRule>
    <cfRule type="expression" dxfId="155" priority="134" stopIfTrue="1">
      <formula>WEEKDAY(#REF!)=7</formula>
    </cfRule>
    <cfRule type="expression" dxfId="154" priority="135" stopIfTrue="1">
      <formula>AL38="祝祭日等"</formula>
    </cfRule>
  </conditionalFormatting>
  <conditionalFormatting sqref="K39">
    <cfRule type="expression" dxfId="153" priority="124" stopIfTrue="1">
      <formula>WEEKDAY(F39)=1</formula>
    </cfRule>
    <cfRule type="expression" dxfId="152" priority="125" stopIfTrue="1">
      <formula>WEEKDAY(F39)=7</formula>
    </cfRule>
    <cfRule type="expression" dxfId="151" priority="126" stopIfTrue="1">
      <formula>#REF!="祝祭日等"</formula>
    </cfRule>
  </conditionalFormatting>
  <conditionalFormatting sqref="K40">
    <cfRule type="expression" dxfId="150" priority="121" stopIfTrue="1">
      <formula>WEEKDAY(F40)=1</formula>
    </cfRule>
    <cfRule type="expression" dxfId="149" priority="122" stopIfTrue="1">
      <formula>WEEKDAY(F40)=7</formula>
    </cfRule>
    <cfRule type="expression" dxfId="148" priority="123" stopIfTrue="1">
      <formula>#REF!="祝祭日等"</formula>
    </cfRule>
  </conditionalFormatting>
  <conditionalFormatting sqref="G43:I43">
    <cfRule type="expression" dxfId="147" priority="115" stopIfTrue="1">
      <formula>WEEKDAY(#REF!)=1</formula>
    </cfRule>
    <cfRule type="expression" dxfId="146" priority="116" stopIfTrue="1">
      <formula>WEEKDAY(#REF!)=7</formula>
    </cfRule>
    <cfRule type="expression" dxfId="145" priority="117" stopIfTrue="1">
      <formula>AJ43="祝祭日等"</formula>
    </cfRule>
  </conditionalFormatting>
  <conditionalFormatting sqref="J43">
    <cfRule type="expression" dxfId="144" priority="118" stopIfTrue="1">
      <formula>WEEKDAY(#REF!)=1</formula>
    </cfRule>
    <cfRule type="expression" dxfId="143" priority="119" stopIfTrue="1">
      <formula>WEEKDAY(#REF!)=7</formula>
    </cfRule>
    <cfRule type="expression" dxfId="142" priority="120" stopIfTrue="1">
      <formula>AL43="祝祭日等"</formula>
    </cfRule>
  </conditionalFormatting>
  <conditionalFormatting sqref="G43:I43">
    <cfRule type="expression" dxfId="141" priority="112" stopIfTrue="1">
      <formula>WEEKDAY(#REF!)=1</formula>
    </cfRule>
    <cfRule type="expression" dxfId="140" priority="113" stopIfTrue="1">
      <formula>WEEKDAY(#REF!)=7</formula>
    </cfRule>
    <cfRule type="expression" dxfId="139" priority="114" stopIfTrue="1">
      <formula>AJ43="祝祭日等"</formula>
    </cfRule>
  </conditionalFormatting>
  <conditionalFormatting sqref="J43">
    <cfRule type="expression" dxfId="138" priority="109" stopIfTrue="1">
      <formula>WEEKDAY(#REF!)=1</formula>
    </cfRule>
    <cfRule type="expression" dxfId="137" priority="110" stopIfTrue="1">
      <formula>WEEKDAY(#REF!)=7</formula>
    </cfRule>
    <cfRule type="expression" dxfId="136" priority="111" stopIfTrue="1">
      <formula>AL43="祝祭日等"</formula>
    </cfRule>
  </conditionalFormatting>
  <conditionalFormatting sqref="G43:I43">
    <cfRule type="expression" dxfId="135" priority="106" stopIfTrue="1">
      <formula>WEEKDAY(#REF!)=1</formula>
    </cfRule>
    <cfRule type="expression" dxfId="134" priority="107" stopIfTrue="1">
      <formula>WEEKDAY(#REF!)=7</formula>
    </cfRule>
    <cfRule type="expression" dxfId="133" priority="108" stopIfTrue="1">
      <formula>AJ43="祝祭日等"</formula>
    </cfRule>
  </conditionalFormatting>
  <conditionalFormatting sqref="J43">
    <cfRule type="expression" dxfId="132" priority="103" stopIfTrue="1">
      <formula>WEEKDAY(#REF!)=1</formula>
    </cfRule>
    <cfRule type="expression" dxfId="131" priority="104" stopIfTrue="1">
      <formula>WEEKDAY(#REF!)=7</formula>
    </cfRule>
    <cfRule type="expression" dxfId="130" priority="105" stopIfTrue="1">
      <formula>AL43="祝祭日等"</formula>
    </cfRule>
  </conditionalFormatting>
  <conditionalFormatting sqref="K43">
    <cfRule type="expression" dxfId="129" priority="100" stopIfTrue="1">
      <formula>WEEKDAY(F43)=1</formula>
    </cfRule>
    <cfRule type="expression" dxfId="128" priority="101" stopIfTrue="1">
      <formula>WEEKDAY(F43)=7</formula>
    </cfRule>
    <cfRule type="expression" dxfId="127" priority="102" stopIfTrue="1">
      <formula>#REF!="祝祭日等"</formula>
    </cfRule>
  </conditionalFormatting>
  <conditionalFormatting sqref="O40">
    <cfRule type="expression" dxfId="126" priority="88" stopIfTrue="1">
      <formula>WEEKDAY(I40)=1</formula>
    </cfRule>
    <cfRule type="expression" dxfId="125" priority="89" stopIfTrue="1">
      <formula>WEEKDAY(I40)=7</formula>
    </cfRule>
    <cfRule type="expression" dxfId="124" priority="90" stopIfTrue="1">
      <formula>AI40="祝祭日等"</formula>
    </cfRule>
  </conditionalFormatting>
  <conditionalFormatting sqref="O40">
    <cfRule type="expression" dxfId="123" priority="85" stopIfTrue="1">
      <formula>WEEKDAY(I40)=1</formula>
    </cfRule>
    <cfRule type="expression" dxfId="122" priority="86" stopIfTrue="1">
      <formula>WEEKDAY(I40)=7</formula>
    </cfRule>
    <cfRule type="expression" dxfId="121" priority="87" stopIfTrue="1">
      <formula>AI40="祝祭日等"</formula>
    </cfRule>
  </conditionalFormatting>
  <conditionalFormatting sqref="O40">
    <cfRule type="expression" dxfId="120" priority="82" stopIfTrue="1">
      <formula>WEEKDAY(I40)=1</formula>
    </cfRule>
    <cfRule type="expression" dxfId="119" priority="83" stopIfTrue="1">
      <formula>WEEKDAY(I40)=7</formula>
    </cfRule>
    <cfRule type="expression" dxfId="118" priority="84" stopIfTrue="1">
      <formula>AI40="祝祭日等"</formula>
    </cfRule>
  </conditionalFormatting>
  <conditionalFormatting sqref="O43">
    <cfRule type="expression" dxfId="117" priority="79" stopIfTrue="1">
      <formula>WEEKDAY(I43)=1</formula>
    </cfRule>
    <cfRule type="expression" dxfId="116" priority="80" stopIfTrue="1">
      <formula>WEEKDAY(I43)=7</formula>
    </cfRule>
    <cfRule type="expression" dxfId="115" priority="81" stopIfTrue="1">
      <formula>AI43="祝祭日等"</formula>
    </cfRule>
  </conditionalFormatting>
  <conditionalFormatting sqref="O43">
    <cfRule type="expression" dxfId="114" priority="76" stopIfTrue="1">
      <formula>WEEKDAY(I43)=1</formula>
    </cfRule>
    <cfRule type="expression" dxfId="113" priority="77" stopIfTrue="1">
      <formula>WEEKDAY(I43)=7</formula>
    </cfRule>
    <cfRule type="expression" dxfId="112" priority="78" stopIfTrue="1">
      <formula>AI43="祝祭日等"</formula>
    </cfRule>
  </conditionalFormatting>
  <conditionalFormatting sqref="O43">
    <cfRule type="expression" dxfId="111" priority="73" stopIfTrue="1">
      <formula>WEEKDAY(I43)=1</formula>
    </cfRule>
    <cfRule type="expression" dxfId="110" priority="74" stopIfTrue="1">
      <formula>WEEKDAY(I43)=7</formula>
    </cfRule>
    <cfRule type="expression" dxfId="109" priority="75" stopIfTrue="1">
      <formula>AI43="祝祭日等"</formula>
    </cfRule>
  </conditionalFormatting>
  <conditionalFormatting sqref="K21">
    <cfRule type="expression" dxfId="108" priority="70" stopIfTrue="1">
      <formula>WEEKDAY(F21)=1</formula>
    </cfRule>
    <cfRule type="expression" dxfId="107" priority="71" stopIfTrue="1">
      <formula>WEEKDAY(F21)=7</formula>
    </cfRule>
    <cfRule type="expression" dxfId="106" priority="72" stopIfTrue="1">
      <formula>#REF!="祝祭日等"</formula>
    </cfRule>
  </conditionalFormatting>
  <conditionalFormatting sqref="O21">
    <cfRule type="expression" dxfId="105" priority="67" stopIfTrue="1">
      <formula>WEEKDAY(I21)=1</formula>
    </cfRule>
    <cfRule type="expression" dxfId="104" priority="68" stopIfTrue="1">
      <formula>WEEKDAY(I21)=7</formula>
    </cfRule>
    <cfRule type="expression" dxfId="103" priority="69" stopIfTrue="1">
      <formula>AI21="祝祭日等"</formula>
    </cfRule>
  </conditionalFormatting>
  <conditionalFormatting sqref="K21">
    <cfRule type="expression" dxfId="102" priority="64" stopIfTrue="1">
      <formula>WEEKDAY(F21)=1</formula>
    </cfRule>
    <cfRule type="expression" dxfId="101" priority="65" stopIfTrue="1">
      <formula>WEEKDAY(F21)=7</formula>
    </cfRule>
    <cfRule type="expression" dxfId="100" priority="66" stopIfTrue="1">
      <formula>#REF!="祝祭日等"</formula>
    </cfRule>
  </conditionalFormatting>
  <conditionalFormatting sqref="O21">
    <cfRule type="expression" dxfId="99" priority="61" stopIfTrue="1">
      <formula>WEEKDAY(I21)=1</formula>
    </cfRule>
    <cfRule type="expression" dxfId="98" priority="62" stopIfTrue="1">
      <formula>WEEKDAY(I21)=7</formula>
    </cfRule>
    <cfRule type="expression" dxfId="97" priority="63" stopIfTrue="1">
      <formula>AI21="祝祭日等"</formula>
    </cfRule>
  </conditionalFormatting>
  <conditionalFormatting sqref="K22">
    <cfRule type="expression" dxfId="96" priority="58" stopIfTrue="1">
      <formula>WEEKDAY(F22)=1</formula>
    </cfRule>
    <cfRule type="expression" dxfId="95" priority="59" stopIfTrue="1">
      <formula>WEEKDAY(F22)=7</formula>
    </cfRule>
    <cfRule type="expression" dxfId="94" priority="60" stopIfTrue="1">
      <formula>#REF!="祝祭日等"</formula>
    </cfRule>
  </conditionalFormatting>
  <conditionalFormatting sqref="K22">
    <cfRule type="expression" dxfId="93" priority="55" stopIfTrue="1">
      <formula>WEEKDAY(F22)=1</formula>
    </cfRule>
    <cfRule type="expression" dxfId="92" priority="56" stopIfTrue="1">
      <formula>WEEKDAY(F22)=7</formula>
    </cfRule>
    <cfRule type="expression" dxfId="91" priority="57" stopIfTrue="1">
      <formula>#REF!="祝祭日等"</formula>
    </cfRule>
  </conditionalFormatting>
  <conditionalFormatting sqref="O22">
    <cfRule type="expression" dxfId="90" priority="52" stopIfTrue="1">
      <formula>WEEKDAY(I22)=1</formula>
    </cfRule>
    <cfRule type="expression" dxfId="89" priority="53" stopIfTrue="1">
      <formula>WEEKDAY(I22)=7</formula>
    </cfRule>
    <cfRule type="expression" dxfId="88" priority="54" stopIfTrue="1">
      <formula>AI22="祝祭日等"</formula>
    </cfRule>
  </conditionalFormatting>
  <conditionalFormatting sqref="O22">
    <cfRule type="expression" dxfId="87" priority="49" stopIfTrue="1">
      <formula>WEEKDAY(I22)=1</formula>
    </cfRule>
    <cfRule type="expression" dxfId="86" priority="50" stopIfTrue="1">
      <formula>WEEKDAY(I22)=7</formula>
    </cfRule>
    <cfRule type="expression" dxfId="85" priority="51" stopIfTrue="1">
      <formula>AI22="祝祭日等"</formula>
    </cfRule>
  </conditionalFormatting>
  <conditionalFormatting sqref="K29">
    <cfRule type="expression" dxfId="84" priority="46" stopIfTrue="1">
      <formula>WEEKDAY(F29)=1</formula>
    </cfRule>
    <cfRule type="expression" dxfId="83" priority="47" stopIfTrue="1">
      <formula>WEEKDAY(F29)=7</formula>
    </cfRule>
    <cfRule type="expression" dxfId="82" priority="48" stopIfTrue="1">
      <formula>#REF!="祝祭日等"</formula>
    </cfRule>
  </conditionalFormatting>
  <conditionalFormatting sqref="K30">
    <cfRule type="expression" dxfId="81" priority="43" stopIfTrue="1">
      <formula>WEEKDAY(F30)=1</formula>
    </cfRule>
    <cfRule type="expression" dxfId="80" priority="44" stopIfTrue="1">
      <formula>WEEKDAY(F30)=7</formula>
    </cfRule>
    <cfRule type="expression" dxfId="79" priority="45" stopIfTrue="1">
      <formula>#REF!="祝祭日等"</formula>
    </cfRule>
  </conditionalFormatting>
  <conditionalFormatting sqref="K33">
    <cfRule type="expression" dxfId="78" priority="40" stopIfTrue="1">
      <formula>WEEKDAY(F33)=1</formula>
    </cfRule>
    <cfRule type="expression" dxfId="77" priority="41" stopIfTrue="1">
      <formula>WEEKDAY(F33)=7</formula>
    </cfRule>
    <cfRule type="expression" dxfId="76" priority="42" stopIfTrue="1">
      <formula>#REF!="祝祭日等"</formula>
    </cfRule>
  </conditionalFormatting>
  <conditionalFormatting sqref="K36">
    <cfRule type="expression" dxfId="75" priority="37" stopIfTrue="1">
      <formula>WEEKDAY(F36)=1</formula>
    </cfRule>
    <cfRule type="expression" dxfId="74" priority="38" stopIfTrue="1">
      <formula>WEEKDAY(F36)=7</formula>
    </cfRule>
    <cfRule type="expression" dxfId="73" priority="39" stopIfTrue="1">
      <formula>#REF!="祝祭日等"</formula>
    </cfRule>
  </conditionalFormatting>
  <conditionalFormatting sqref="O36">
    <cfRule type="expression" dxfId="72" priority="34" stopIfTrue="1">
      <formula>WEEKDAY(I36)=1</formula>
    </cfRule>
    <cfRule type="expression" dxfId="71" priority="35" stopIfTrue="1">
      <formula>WEEKDAY(I36)=7</formula>
    </cfRule>
    <cfRule type="expression" dxfId="70" priority="36" stopIfTrue="1">
      <formula>AI36="祝祭日等"</formula>
    </cfRule>
  </conditionalFormatting>
  <conditionalFormatting sqref="K24:K28">
    <cfRule type="expression" dxfId="69" priority="31" stopIfTrue="1">
      <formula>WEEKDAY(F24)=1</formula>
    </cfRule>
    <cfRule type="expression" dxfId="68" priority="32" stopIfTrue="1">
      <formula>WEEKDAY(F24)=7</formula>
    </cfRule>
    <cfRule type="expression" dxfId="67" priority="33" stopIfTrue="1">
      <formula>#REF!="祝祭日等"</formula>
    </cfRule>
  </conditionalFormatting>
  <conditionalFormatting sqref="K24:K28">
    <cfRule type="expression" dxfId="66" priority="28" stopIfTrue="1">
      <formula>WEEKDAY(F24)=1</formula>
    </cfRule>
    <cfRule type="expression" dxfId="65" priority="29" stopIfTrue="1">
      <formula>WEEKDAY(F24)=7</formula>
    </cfRule>
    <cfRule type="expression" dxfId="64" priority="30" stopIfTrue="1">
      <formula>#REF!="祝祭日等"</formula>
    </cfRule>
  </conditionalFormatting>
  <conditionalFormatting sqref="O28">
    <cfRule type="expression" dxfId="63" priority="25" stopIfTrue="1">
      <formula>WEEKDAY(I28)=1</formula>
    </cfRule>
    <cfRule type="expression" dxfId="62" priority="26" stopIfTrue="1">
      <formula>WEEKDAY(I28)=7</formula>
    </cfRule>
    <cfRule type="expression" dxfId="61" priority="27" stopIfTrue="1">
      <formula>AI28="祝祭日等"</formula>
    </cfRule>
  </conditionalFormatting>
  <conditionalFormatting sqref="O28">
    <cfRule type="expression" dxfId="60" priority="22" stopIfTrue="1">
      <formula>WEEKDAY(I28)=1</formula>
    </cfRule>
    <cfRule type="expression" dxfId="59" priority="23" stopIfTrue="1">
      <formula>WEEKDAY(I28)=7</formula>
    </cfRule>
    <cfRule type="expression" dxfId="58" priority="24" stopIfTrue="1">
      <formula>AI28="祝祭日等"</formula>
    </cfRule>
  </conditionalFormatting>
  <conditionalFormatting sqref="K31:K32">
    <cfRule type="expression" dxfId="57" priority="13" stopIfTrue="1">
      <formula>WEEKDAY(F31)=1</formula>
    </cfRule>
    <cfRule type="expression" dxfId="56" priority="14" stopIfTrue="1">
      <formula>WEEKDAY(F31)=7</formula>
    </cfRule>
    <cfRule type="expression" dxfId="55" priority="15" stopIfTrue="1">
      <formula>#REF!="祝祭日等"</formula>
    </cfRule>
  </conditionalFormatting>
  <conditionalFormatting sqref="K31:K32">
    <cfRule type="expression" dxfId="54" priority="10" stopIfTrue="1">
      <formula>WEEKDAY(F31)=1</formula>
    </cfRule>
    <cfRule type="expression" dxfId="53" priority="11" stopIfTrue="1">
      <formula>WEEKDAY(F31)=7</formula>
    </cfRule>
    <cfRule type="expression" dxfId="52" priority="12" stopIfTrue="1">
      <formula>#REF!="祝祭日等"</formula>
    </cfRule>
  </conditionalFormatting>
  <conditionalFormatting sqref="K34">
    <cfRule type="expression" dxfId="51" priority="7" stopIfTrue="1">
      <formula>WEEKDAY(F34)=1</formula>
    </cfRule>
    <cfRule type="expression" dxfId="50" priority="8" stopIfTrue="1">
      <formula>WEEKDAY(F34)=7</formula>
    </cfRule>
    <cfRule type="expression" dxfId="49" priority="9" stopIfTrue="1">
      <formula>#REF!="祝祭日等"</formula>
    </cfRule>
  </conditionalFormatting>
  <conditionalFormatting sqref="O38">
    <cfRule type="expression" dxfId="48" priority="4" stopIfTrue="1">
      <formula>WEEKDAY(I38)=1</formula>
    </cfRule>
    <cfRule type="expression" dxfId="47" priority="5" stopIfTrue="1">
      <formula>WEEKDAY(I38)=7</formula>
    </cfRule>
    <cfRule type="expression" dxfId="46" priority="6" stopIfTrue="1">
      <formula>AI38="祝祭日等"</formula>
    </cfRule>
  </conditionalFormatting>
  <conditionalFormatting sqref="K38">
    <cfRule type="expression" dxfId="45" priority="1" stopIfTrue="1">
      <formula>WEEKDAY(F38)=1</formula>
    </cfRule>
    <cfRule type="expression" dxfId="44" priority="2" stopIfTrue="1">
      <formula>WEEKDAY(F38)=7</formula>
    </cfRule>
    <cfRule type="expression" dxfId="43" priority="3" stopIfTrue="1">
      <formula>#REF!="祝祭日等"</formula>
    </cfRule>
  </conditionalFormatting>
  <dataValidations xWindow="1193" yWindow="337" count="12">
    <dataValidation imeMode="off" allowBlank="1" showInputMessage="1" showErrorMessage="1" sqref="AU4:AV7 BA65:BF65 W8 AS8 D56 L44:V44 K8 S13:AB43 AP55 AS44 BA57:BF62 M57:R62 AM4 K13:N43 F56:I56 BW4:BW7 BA44:BF44 BD34:BI43 BD18:BI23 L65:V365 AS65:AS65536 BB55:BG56"/>
    <dataValidation allowBlank="1" showInputMessage="1" showErrorMessage="1" prompt="記入不要" sqref="A7:B7"/>
    <dataValidation showInputMessage="1" showErrorMessage="1" sqref="BD4:BL4"/>
    <dataValidation allowBlank="1" showInputMessage="1" showErrorMessage="1" promptTitle="承認日" prompt="YYYY/MM/DD" sqref="V57:X62 AP62:AS62 AJ62:AL62"/>
    <dataValidation type="list" allowBlank="1" showInputMessage="1" showErrorMessage="1" sqref="BG24 BD10">
      <formula1>timeScale</formula1>
    </dataValidation>
    <dataValidation type="list" showInputMessage="1" showErrorMessage="1" sqref="BD8">
      <formula1>労働時間</formula1>
    </dataValidation>
    <dataValidation type="custom" imeMode="off" allowBlank="1" showInputMessage="1" showErrorMessage="1" error="時間計算単位に合わせて時間を入力してください。" sqref="O13:R43">
      <formula1>(MINUTE(O13)=ROUNDDOWN(MINUTE(O13)/$BG$10,0)*$BG$10)</formula1>
    </dataValidation>
    <dataValidation allowBlank="1" showInputMessage="1" showErrorMessage="1" prompt="整数を入力してください。" sqref="BD6"/>
    <dataValidation type="list" imeMode="off" allowBlank="1" showInputMessage="1" showErrorMessage="1" sqref="G13:J43">
      <formula1>出勤区分</formula1>
    </dataValidation>
    <dataValidation type="list" allowBlank="1" showInputMessage="1" showErrorMessage="1" sqref="AC2:AK2 AK6">
      <formula1>部門</formula1>
    </dataValidation>
    <dataValidation type="list" allowBlank="1" showInputMessage="1" showErrorMessage="1" sqref="S2:W2 W6:AB6">
      <formula1>役職</formula1>
    </dataValidation>
    <dataValidation type="date" allowBlank="1" showInputMessage="1" showErrorMessage="1" promptTitle="入社日" prompt="YYYY/MM/DD" sqref="L7:R7">
      <formula1>36526</formula1>
      <formula2>401404</formula2>
    </dataValidation>
  </dataValidations>
  <printOptions horizontalCentered="1"/>
  <pageMargins left="0.6692913385826772" right="0.55118110236220474" top="0.82677165354330717" bottom="0.78740157480314965" header="0.31496062992125984" footer="0.51181102362204722"/>
  <pageSetup paperSize="9" scale="62" firstPageNumber="4294963191" orientation="portrait" r:id="rId1"/>
  <headerFooter alignWithMargins="0"/>
  <rowBreaks count="1" manualBreakCount="1">
    <brk id="62" max="16383" man="1"/>
  </rowBreaks>
  <ignoredErrors>
    <ignoredError sqref="T13:U13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30" r:id="rId4" name="Button 158">
              <controlPr defaultSize="0" print="0" autoFill="0" autoPict="0" macro="[0]!clearData">
                <anchor moveWithCells="1" sizeWithCells="1">
                  <from>
                    <xdr:col>17</xdr:col>
                    <xdr:colOff>19050</xdr:colOff>
                    <xdr:row>62</xdr:row>
                    <xdr:rowOff>114300</xdr:rowOff>
                  </from>
                  <to>
                    <xdr:col>19</xdr:col>
                    <xdr:colOff>190500</xdr:colOff>
                    <xdr:row>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58" r:id="rId5" name="Button 286">
              <controlPr defaultSize="0" print="0" autoFill="0" autoPict="0" macro="[0]!initData">
                <anchor moveWithCells="1" sizeWithCells="1">
                  <from>
                    <xdr:col>21</xdr:col>
                    <xdr:colOff>28575</xdr:colOff>
                    <xdr:row>62</xdr:row>
                    <xdr:rowOff>114300</xdr:rowOff>
                  </from>
                  <to>
                    <xdr:col>25</xdr:col>
                    <xdr:colOff>76200</xdr:colOff>
                    <xdr:row>64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40"/>
  <sheetViews>
    <sheetView showGridLines="0" topLeftCell="A10" workbookViewId="0">
      <selection activeCell="C24" sqref="C24"/>
    </sheetView>
  </sheetViews>
  <sheetFormatPr defaultRowHeight="18.75" customHeight="1"/>
  <cols>
    <col min="1" max="1" width="3.75" style="200" customWidth="1"/>
    <col min="2" max="2" width="4" style="200" bestFit="1" customWidth="1"/>
    <col min="3" max="3" width="16" style="200" customWidth="1"/>
    <col min="4" max="4" width="33.125" style="200" bestFit="1" customWidth="1"/>
    <col min="5" max="5" width="6" style="211" bestFit="1" customWidth="1"/>
    <col min="6" max="6" width="9" style="200" customWidth="1"/>
    <col min="7" max="8" width="1.375" style="200" customWidth="1"/>
    <col min="9" max="9" width="19.75" style="200" bestFit="1" customWidth="1"/>
    <col min="10" max="10" width="10.25" style="200" bestFit="1" customWidth="1"/>
    <col min="11" max="11" width="13.875" style="200" bestFit="1" customWidth="1"/>
    <col min="12" max="12" width="2.25" style="200" customWidth="1"/>
    <col min="13" max="13" width="10.25" style="200" bestFit="1" customWidth="1"/>
    <col min="14" max="14" width="2.25" style="200" customWidth="1"/>
    <col min="15" max="15" width="19.625" style="200" bestFit="1" customWidth="1"/>
    <col min="16" max="16" width="2.125" style="200" customWidth="1"/>
    <col min="17" max="17" width="14.875" style="200" customWidth="1"/>
    <col min="18" max="255" width="9" style="200" customWidth="1"/>
    <col min="256" max="16384" width="9" style="200"/>
  </cols>
  <sheetData>
    <row r="1" spans="1:17" ht="18.75" customHeight="1">
      <c r="A1" s="199"/>
      <c r="B1" s="199"/>
      <c r="D1" s="201"/>
      <c r="E1" s="201"/>
    </row>
    <row r="2" spans="1:17" ht="18.75" customHeight="1">
      <c r="B2" s="202" t="s">
        <v>25</v>
      </c>
      <c r="C2" s="203" t="s">
        <v>29</v>
      </c>
      <c r="D2" s="203" t="s">
        <v>59</v>
      </c>
      <c r="E2" s="204" t="s">
        <v>38</v>
      </c>
      <c r="F2" s="205" t="s">
        <v>68</v>
      </c>
      <c r="I2" s="203" t="s">
        <v>47</v>
      </c>
      <c r="J2" s="203" t="s">
        <v>46</v>
      </c>
      <c r="K2" s="203" t="s">
        <v>31</v>
      </c>
      <c r="M2" s="206" t="s">
        <v>69</v>
      </c>
      <c r="O2" s="206" t="s">
        <v>72</v>
      </c>
      <c r="Q2" s="206" t="s">
        <v>75</v>
      </c>
    </row>
    <row r="3" spans="1:17" ht="18.75" customHeight="1">
      <c r="B3" s="207">
        <v>1</v>
      </c>
      <c r="C3" s="207"/>
      <c r="D3" s="207"/>
      <c r="E3" s="203" t="s">
        <v>26</v>
      </c>
      <c r="F3" s="205">
        <v>1</v>
      </c>
      <c r="I3" s="203" t="s">
        <v>39</v>
      </c>
      <c r="J3" s="203" t="s">
        <v>55</v>
      </c>
      <c r="K3" s="207" t="s">
        <v>23</v>
      </c>
      <c r="M3" s="206" t="s">
        <v>70</v>
      </c>
      <c r="O3" s="206">
        <v>6</v>
      </c>
      <c r="Q3" s="206">
        <v>1</v>
      </c>
    </row>
    <row r="4" spans="1:17" ht="18.75" customHeight="1">
      <c r="B4" s="207">
        <v>2</v>
      </c>
      <c r="C4" s="207" t="s">
        <v>67</v>
      </c>
      <c r="D4" s="207" t="s">
        <v>74</v>
      </c>
      <c r="E4" s="208">
        <v>1</v>
      </c>
      <c r="F4" s="205">
        <v>2</v>
      </c>
      <c r="I4" s="203" t="s">
        <v>40</v>
      </c>
      <c r="J4" s="203" t="s">
        <v>35</v>
      </c>
      <c r="K4" s="207" t="s">
        <v>30</v>
      </c>
      <c r="M4" s="206" t="s">
        <v>71</v>
      </c>
      <c r="O4" s="206">
        <v>7</v>
      </c>
      <c r="Q4" s="206">
        <v>10</v>
      </c>
    </row>
    <row r="5" spans="1:17" ht="18.75" customHeight="1">
      <c r="B5" s="207">
        <v>3</v>
      </c>
      <c r="C5" s="207" t="s">
        <v>66</v>
      </c>
      <c r="D5" s="207" t="s">
        <v>66</v>
      </c>
      <c r="E5" s="208">
        <v>1</v>
      </c>
      <c r="F5" s="205">
        <v>3</v>
      </c>
      <c r="I5" s="203" t="s">
        <v>41</v>
      </c>
      <c r="J5" s="203" t="s">
        <v>36</v>
      </c>
      <c r="K5" s="207" t="s">
        <v>27</v>
      </c>
      <c r="O5" s="206">
        <v>7.5</v>
      </c>
      <c r="Q5" s="206">
        <v>15</v>
      </c>
    </row>
    <row r="6" spans="1:17" ht="18.75" customHeight="1">
      <c r="B6" s="207">
        <v>4</v>
      </c>
      <c r="C6" s="207" t="s">
        <v>30</v>
      </c>
      <c r="D6" s="207" t="s">
        <v>82</v>
      </c>
      <c r="E6" s="208">
        <v>1</v>
      </c>
      <c r="F6" s="205">
        <v>4</v>
      </c>
      <c r="I6" s="203" t="s">
        <v>42</v>
      </c>
      <c r="J6" s="203" t="s">
        <v>34</v>
      </c>
      <c r="K6" s="207" t="s">
        <v>66</v>
      </c>
      <c r="O6" s="206">
        <v>7.75</v>
      </c>
      <c r="Q6" s="206">
        <v>30</v>
      </c>
    </row>
    <row r="7" spans="1:17" ht="18.75" customHeight="1">
      <c r="B7" s="207">
        <v>5</v>
      </c>
      <c r="C7" s="207" t="s">
        <v>30</v>
      </c>
      <c r="D7" s="207" t="s">
        <v>62</v>
      </c>
      <c r="E7" s="203">
        <v>1</v>
      </c>
      <c r="F7" s="205">
        <v>5</v>
      </c>
      <c r="I7" s="203" t="s">
        <v>43</v>
      </c>
      <c r="J7" s="203" t="s">
        <v>37</v>
      </c>
      <c r="K7" s="207"/>
      <c r="O7" s="206">
        <v>8</v>
      </c>
      <c r="Q7" s="206"/>
    </row>
    <row r="8" spans="1:17" ht="18.75" customHeight="1">
      <c r="B8" s="207">
        <v>6</v>
      </c>
      <c r="C8" s="207" t="s">
        <v>0</v>
      </c>
      <c r="D8" s="207" t="s">
        <v>63</v>
      </c>
      <c r="E8" s="203">
        <v>1</v>
      </c>
      <c r="F8" s="205">
        <v>6</v>
      </c>
      <c r="I8" s="203" t="s">
        <v>171</v>
      </c>
      <c r="O8" s="206">
        <v>8.5</v>
      </c>
    </row>
    <row r="9" spans="1:17" ht="18.75" customHeight="1">
      <c r="B9" s="207">
        <v>7</v>
      </c>
      <c r="C9" s="207" t="s">
        <v>83</v>
      </c>
      <c r="D9" s="207" t="s">
        <v>73</v>
      </c>
      <c r="E9" s="203">
        <v>1</v>
      </c>
      <c r="F9" s="205">
        <v>7</v>
      </c>
      <c r="I9" s="203" t="s">
        <v>172</v>
      </c>
    </row>
    <row r="10" spans="1:17" ht="18.75" customHeight="1">
      <c r="B10" s="207">
        <v>8</v>
      </c>
      <c r="C10" s="207" t="s">
        <v>0</v>
      </c>
      <c r="D10" s="207" t="s">
        <v>56</v>
      </c>
      <c r="E10" s="209">
        <v>0.375</v>
      </c>
      <c r="F10" s="205">
        <v>8</v>
      </c>
      <c r="I10" s="203" t="s">
        <v>44</v>
      </c>
    </row>
    <row r="11" spans="1:17" ht="18.75" customHeight="1">
      <c r="B11" s="207">
        <v>9</v>
      </c>
      <c r="C11" s="207" t="s">
        <v>24</v>
      </c>
      <c r="D11" s="207" t="s">
        <v>57</v>
      </c>
      <c r="E11" s="209">
        <v>0.625</v>
      </c>
      <c r="F11" s="205">
        <v>9</v>
      </c>
      <c r="I11" s="203" t="s">
        <v>45</v>
      </c>
    </row>
    <row r="12" spans="1:17" ht="18.75" customHeight="1">
      <c r="B12" s="207">
        <v>10</v>
      </c>
      <c r="C12" s="207"/>
      <c r="D12" s="207" t="s">
        <v>32</v>
      </c>
      <c r="E12" s="203">
        <v>1</v>
      </c>
      <c r="F12" s="205">
        <v>10</v>
      </c>
    </row>
    <row r="13" spans="1:17" ht="18.75" customHeight="1">
      <c r="B13" s="207">
        <v>11</v>
      </c>
      <c r="C13" s="207"/>
      <c r="D13" s="207" t="s">
        <v>33</v>
      </c>
      <c r="E13" s="203">
        <v>0.5</v>
      </c>
      <c r="F13" s="205">
        <v>11</v>
      </c>
      <c r="G13" s="200" t="s">
        <v>88</v>
      </c>
    </row>
    <row r="14" spans="1:17" ht="18.75" customHeight="1">
      <c r="B14" s="207">
        <v>12</v>
      </c>
      <c r="C14" s="207"/>
      <c r="D14" s="207" t="s">
        <v>51</v>
      </c>
      <c r="E14" s="208" t="s">
        <v>26</v>
      </c>
      <c r="F14" s="205">
        <v>12</v>
      </c>
    </row>
    <row r="15" spans="1:17" ht="18.75" customHeight="1">
      <c r="B15" s="207">
        <v>13</v>
      </c>
      <c r="C15" s="207"/>
      <c r="D15" s="210"/>
      <c r="E15" s="203"/>
      <c r="F15" s="205">
        <v>13</v>
      </c>
    </row>
    <row r="17" spans="2:3" ht="18.75" customHeight="1" thickBot="1">
      <c r="B17" s="212" t="s">
        <v>97</v>
      </c>
      <c r="C17" s="213"/>
    </row>
    <row r="18" spans="2:3" ht="18.75" customHeight="1" thickBot="1">
      <c r="B18" s="214" t="s">
        <v>98</v>
      </c>
      <c r="C18" s="215" t="s">
        <v>99</v>
      </c>
    </row>
    <row r="19" spans="2:3" ht="18.75" customHeight="1" thickTop="1">
      <c r="B19" s="216" t="s">
        <v>100</v>
      </c>
      <c r="C19" s="217" t="str">
        <f>""</f>
        <v/>
      </c>
    </row>
    <row r="20" spans="2:3" ht="18.75" customHeight="1">
      <c r="B20" s="218" t="s">
        <v>101</v>
      </c>
      <c r="C20" s="219" t="s">
        <v>88</v>
      </c>
    </row>
    <row r="21" spans="2:3" ht="18.75" customHeight="1">
      <c r="B21" s="218" t="s">
        <v>102</v>
      </c>
      <c r="C21" s="219" t="s">
        <v>103</v>
      </c>
    </row>
    <row r="22" spans="2:3" ht="18.75" customHeight="1">
      <c r="B22" s="218" t="s">
        <v>104</v>
      </c>
      <c r="C22" s="219" t="s">
        <v>105</v>
      </c>
    </row>
    <row r="23" spans="2:3" ht="18.75" customHeight="1">
      <c r="B23" s="218" t="s">
        <v>106</v>
      </c>
      <c r="C23" s="219" t="s">
        <v>180</v>
      </c>
    </row>
    <row r="24" spans="2:3" ht="18.75" customHeight="1">
      <c r="B24" s="218" t="s">
        <v>107</v>
      </c>
      <c r="C24" s="219" t="s">
        <v>67</v>
      </c>
    </row>
    <row r="25" spans="2:3" ht="18.75" customHeight="1">
      <c r="B25" s="218" t="s">
        <v>108</v>
      </c>
      <c r="C25" s="219" t="s">
        <v>91</v>
      </c>
    </row>
    <row r="26" spans="2:3" ht="18.75" customHeight="1">
      <c r="B26" s="218" t="s">
        <v>109</v>
      </c>
      <c r="C26" s="219" t="s">
        <v>92</v>
      </c>
    </row>
    <row r="27" spans="2:3" ht="18.75" customHeight="1">
      <c r="B27" s="218" t="s">
        <v>110</v>
      </c>
      <c r="C27" s="219" t="s">
        <v>96</v>
      </c>
    </row>
    <row r="28" spans="2:3" ht="18.75" customHeight="1">
      <c r="B28" s="218" t="s">
        <v>111</v>
      </c>
      <c r="C28" s="219" t="s">
        <v>93</v>
      </c>
    </row>
    <row r="29" spans="2:3" ht="18.75" customHeight="1">
      <c r="B29" s="218" t="s">
        <v>112</v>
      </c>
      <c r="C29" s="219" t="s">
        <v>94</v>
      </c>
    </row>
    <row r="30" spans="2:3" ht="18.75" customHeight="1">
      <c r="B30" s="218" t="s">
        <v>113</v>
      </c>
      <c r="C30" s="219" t="s">
        <v>95</v>
      </c>
    </row>
    <row r="38" spans="2:3" ht="18.75" customHeight="1" thickBot="1">
      <c r="B38" s="212" t="s">
        <v>118</v>
      </c>
      <c r="C38" s="213"/>
    </row>
    <row r="39" spans="2:3" ht="18.75" customHeight="1" thickBot="1">
      <c r="B39" s="214" t="s">
        <v>98</v>
      </c>
      <c r="C39" s="215" t="s">
        <v>99</v>
      </c>
    </row>
    <row r="40" spans="2:3" ht="18.75" customHeight="1" thickTop="1">
      <c r="B40" s="216" t="s">
        <v>100</v>
      </c>
      <c r="C40" s="220">
        <v>0.91666666666666663</v>
      </c>
    </row>
  </sheetData>
  <protectedRanges>
    <protectedRange sqref="C3:E4 C6:E15 C5 E5" name="区域1_1"/>
  </protectedRanges>
  <dataConsolidate/>
  <phoneticPr fontId="6"/>
  <dataValidations count="2">
    <dataValidation type="list" allowBlank="1" showInputMessage="1" showErrorMessage="1" sqref="E3:E15">
      <formula1>"',3/8,0.5,5/8,1"</formula1>
    </dataValidation>
    <dataValidation type="list" allowBlank="1" showInputMessage="1" showErrorMessage="1" sqref="C3:C15">
      <formula1>$K$3:$K$7</formula1>
    </dataValidation>
  </dataValidations>
  <printOptions horizontalCentered="1"/>
  <pageMargins left="0.74803149606299213" right="0.74803149606299213" top="0.98425196850393704" bottom="0.98425196850393704" header="0.51181102362204722" footer="0.51181102362204722"/>
  <pageSetup paperSize="9" scale="6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Z53"/>
  <sheetViews>
    <sheetView showGridLines="0" zoomScaleNormal="100" zoomScaleSheetLayoutView="100" workbookViewId="0">
      <selection activeCell="W20" sqref="W20:AI20"/>
    </sheetView>
  </sheetViews>
  <sheetFormatPr defaultColWidth="3" defaultRowHeight="18" customHeight="1"/>
  <cols>
    <col min="1" max="34" width="2.875" style="1" customWidth="1"/>
    <col min="35" max="35" width="2.875" style="3" customWidth="1"/>
    <col min="36" max="36" width="4.75" style="27" customWidth="1"/>
    <col min="37" max="38" width="6.5" style="2" hidden="1" customWidth="1"/>
    <col min="39" max="47" width="2.625" style="1" customWidth="1"/>
    <col min="48" max="49" width="2.625" style="27" customWidth="1"/>
    <col min="50" max="50" width="3.75" style="27" customWidth="1"/>
    <col min="51" max="51" width="2.625" style="27" customWidth="1"/>
    <col min="52" max="53" width="3" style="1"/>
    <col min="54" max="54" width="2.25" style="1" customWidth="1"/>
    <col min="55" max="56" width="4.5" style="1" bestFit="1" customWidth="1"/>
    <col min="57" max="62" width="3" style="1"/>
    <col min="63" max="64" width="3" style="160" hidden="1" customWidth="1"/>
    <col min="65" max="65" width="5.875" style="160" hidden="1" customWidth="1"/>
    <col min="66" max="68" width="3" style="160" hidden="1" customWidth="1"/>
    <col min="69" max="69" width="3.375" style="160" hidden="1" customWidth="1"/>
    <col min="70" max="71" width="10.125" style="160" hidden="1" customWidth="1"/>
    <col min="72" max="74" width="8" style="160" hidden="1" customWidth="1"/>
    <col min="75" max="75" width="3" style="160" hidden="1" customWidth="1"/>
    <col min="76" max="16384" width="3" style="1"/>
  </cols>
  <sheetData>
    <row r="1" spans="1:78" ht="24" customHeight="1">
      <c r="A1" s="379" t="s">
        <v>28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379"/>
      <c r="U1" s="379"/>
      <c r="V1" s="379"/>
      <c r="W1" s="379"/>
      <c r="X1" s="379"/>
      <c r="Y1" s="379"/>
      <c r="Z1" s="379"/>
      <c r="AA1" s="379"/>
      <c r="AB1" s="379"/>
      <c r="AC1" s="379"/>
      <c r="AD1" s="379"/>
      <c r="AE1" s="379"/>
      <c r="AF1" s="379"/>
      <c r="AG1" s="379"/>
      <c r="AH1" s="379"/>
      <c r="AI1" s="379"/>
      <c r="BQ1" s="160" t="e">
        <v>#REF!</v>
      </c>
      <c r="BR1" s="160" t="e">
        <v>#REF!</v>
      </c>
      <c r="BS1" s="160" t="e">
        <v>#REF!</v>
      </c>
      <c r="BT1" s="160" t="e">
        <v>#REF!</v>
      </c>
      <c r="BU1" s="160" t="s">
        <v>166</v>
      </c>
      <c r="BV1" s="160" t="s">
        <v>166</v>
      </c>
    </row>
    <row r="2" spans="1:78" ht="15" customHeight="1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  <c r="P2" s="186"/>
      <c r="Q2" s="186"/>
      <c r="R2" s="186"/>
      <c r="S2" s="186"/>
      <c r="T2" s="186"/>
      <c r="U2" s="115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7"/>
      <c r="AI2" s="187"/>
      <c r="BQ2" s="160">
        <v>1</v>
      </c>
      <c r="BR2" s="160" t="str">
        <f>IF(BS2=0,"",BS2)</f>
        <v/>
      </c>
      <c r="BS2" s="160">
        <v>0</v>
      </c>
      <c r="BT2" s="160">
        <v>0</v>
      </c>
      <c r="BU2" s="160">
        <v>0</v>
      </c>
      <c r="BV2" s="160" t="s">
        <v>26</v>
      </c>
    </row>
    <row r="3" spans="1:78" s="16" customFormat="1" ht="20.25" customHeight="1">
      <c r="A3" s="188"/>
      <c r="B3" s="188"/>
      <c r="C3" s="188"/>
      <c r="D3" s="188"/>
      <c r="E3" s="188"/>
      <c r="F3" s="188"/>
      <c r="G3" s="189"/>
      <c r="H3" s="190"/>
      <c r="I3" s="380"/>
      <c r="J3" s="380"/>
      <c r="K3" s="189"/>
      <c r="L3" s="189"/>
      <c r="M3" s="189"/>
      <c r="N3" s="189"/>
      <c r="O3" s="189"/>
      <c r="P3" s="188"/>
      <c r="Q3" s="188"/>
      <c r="R3" s="188"/>
      <c r="S3" s="188"/>
      <c r="T3" s="188"/>
      <c r="U3" s="188"/>
      <c r="V3" s="191"/>
      <c r="W3" s="191"/>
      <c r="X3" s="191"/>
      <c r="Y3" s="191"/>
      <c r="Z3" s="191"/>
      <c r="AA3" s="381">
        <f>勤務表!AM4</f>
        <v>2016</v>
      </c>
      <c r="AB3" s="381"/>
      <c r="AC3" s="381"/>
      <c r="AD3" s="381"/>
      <c r="AE3" s="192" t="s">
        <v>148</v>
      </c>
      <c r="AF3" s="382">
        <f>勤務表!AP4</f>
        <v>12</v>
      </c>
      <c r="AG3" s="382"/>
      <c r="AH3" s="193" t="s">
        <v>58</v>
      </c>
      <c r="AI3" s="194"/>
      <c r="AJ3" s="161"/>
      <c r="AK3" s="15"/>
      <c r="AL3" s="15"/>
      <c r="AN3" s="31" t="s">
        <v>147</v>
      </c>
      <c r="AO3" s="28"/>
      <c r="AP3" s="29"/>
      <c r="AQ3" s="29"/>
      <c r="AR3" s="29"/>
      <c r="AS3" s="29"/>
      <c r="AT3" s="29"/>
      <c r="AU3" s="29"/>
      <c r="AV3" s="30"/>
      <c r="AW3" s="30"/>
      <c r="AX3" s="30"/>
      <c r="AY3" s="30"/>
      <c r="AZ3" s="29"/>
      <c r="BA3" s="29"/>
      <c r="BB3" s="29"/>
      <c r="BK3" s="162"/>
      <c r="BL3" s="162"/>
      <c r="BM3" s="163"/>
      <c r="BN3" s="162"/>
      <c r="BO3" s="162"/>
      <c r="BP3" s="162"/>
      <c r="BQ3" s="162">
        <v>2</v>
      </c>
      <c r="BR3" s="162" t="str">
        <f>IF(BS3=0,"",BS3)</f>
        <v>欠勤</v>
      </c>
      <c r="BS3" s="162" t="s">
        <v>67</v>
      </c>
      <c r="BT3" s="162" t="s">
        <v>67</v>
      </c>
      <c r="BU3" s="162">
        <v>0</v>
      </c>
      <c r="BV3" s="162">
        <v>1</v>
      </c>
      <c r="BW3" s="162"/>
    </row>
    <row r="4" spans="1:78" ht="20.25" customHeight="1">
      <c r="A4" s="186"/>
      <c r="B4" s="186"/>
      <c r="C4" s="186"/>
      <c r="D4" s="186"/>
      <c r="E4" s="186"/>
      <c r="F4" s="185"/>
      <c r="G4" s="185"/>
      <c r="H4" s="185"/>
      <c r="I4" s="185"/>
      <c r="J4" s="185"/>
      <c r="K4" s="185"/>
      <c r="L4" s="185"/>
      <c r="M4" s="185"/>
      <c r="N4" s="185"/>
      <c r="O4" s="185"/>
      <c r="P4" s="186"/>
      <c r="Q4" s="186"/>
      <c r="R4" s="115"/>
      <c r="S4" s="115"/>
      <c r="T4" s="115"/>
      <c r="U4" s="115"/>
      <c r="V4" s="115"/>
      <c r="W4" s="115"/>
      <c r="X4" s="115"/>
      <c r="Y4" s="115"/>
      <c r="Z4" s="115"/>
      <c r="AA4" s="383" t="s">
        <v>149</v>
      </c>
      <c r="AB4" s="383"/>
      <c r="AC4" s="383"/>
      <c r="AD4" s="383"/>
      <c r="AE4" s="384" t="str">
        <f>勤務表!AK7</f>
        <v>王少宇</v>
      </c>
      <c r="AF4" s="384"/>
      <c r="AG4" s="384"/>
      <c r="AH4" s="384"/>
      <c r="AI4" s="384"/>
      <c r="AK4" s="6"/>
      <c r="AL4" s="6"/>
      <c r="AN4" s="385"/>
      <c r="AO4" s="386"/>
      <c r="BM4" s="164"/>
      <c r="BQ4" s="160">
        <v>5</v>
      </c>
      <c r="BR4" s="160" t="str">
        <f>IF(BS4=0,"",BS4)</f>
        <v>(現場指定休)帰社作業</v>
      </c>
      <c r="BS4" s="160" t="s">
        <v>167</v>
      </c>
      <c r="BT4" s="160" t="s">
        <v>168</v>
      </c>
      <c r="BU4" s="160">
        <v>0</v>
      </c>
      <c r="BV4" s="160">
        <v>1</v>
      </c>
    </row>
    <row r="5" spans="1:78" s="11" customFormat="1" ht="20.25" customHeight="1">
      <c r="A5" s="78"/>
      <c r="B5" s="195"/>
      <c r="C5" s="195"/>
      <c r="D5" s="195"/>
      <c r="E5" s="195"/>
      <c r="F5" s="195"/>
      <c r="G5" s="195"/>
      <c r="H5" s="195"/>
      <c r="I5" s="78"/>
      <c r="J5" s="78"/>
      <c r="K5" s="78"/>
      <c r="L5" s="78"/>
      <c r="M5" s="78"/>
      <c r="N5" s="78"/>
      <c r="O5" s="78"/>
      <c r="P5" s="78"/>
      <c r="Q5" s="78"/>
      <c r="R5" s="78"/>
      <c r="S5" s="196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K5" s="7"/>
      <c r="AL5" s="7"/>
      <c r="AN5" s="294" t="s">
        <v>76</v>
      </c>
      <c r="AO5" s="294"/>
      <c r="AP5" s="294"/>
      <c r="AQ5" s="294"/>
      <c r="AR5" s="294"/>
      <c r="AS5" s="294"/>
      <c r="AT5" s="387">
        <f>勤務表!BD4</f>
        <v>0.375</v>
      </c>
      <c r="AU5" s="388"/>
      <c r="AV5" s="388"/>
      <c r="AW5" s="388"/>
      <c r="AX5" s="388"/>
      <c r="AY5" s="388"/>
      <c r="AZ5" s="388"/>
      <c r="BA5" s="388"/>
      <c r="BB5" s="388"/>
      <c r="BK5" s="165"/>
      <c r="BL5" s="165"/>
      <c r="BM5" s="166"/>
      <c r="BN5" s="165"/>
      <c r="BO5" s="165"/>
      <c r="BP5" s="165"/>
      <c r="BQ5" s="160">
        <v>6</v>
      </c>
      <c r="BR5" s="160" t="str">
        <f>IF(BS5=0,"",BS5)</f>
        <v>(現場指定休)有給休暇</v>
      </c>
      <c r="BS5" s="160" t="s">
        <v>169</v>
      </c>
      <c r="BT5" s="160" t="s">
        <v>0</v>
      </c>
      <c r="BU5" s="160">
        <v>1</v>
      </c>
      <c r="BV5" s="160">
        <v>1</v>
      </c>
      <c r="BW5" s="165"/>
      <c r="BZ5" s="1"/>
    </row>
    <row r="6" spans="1:78" s="4" customFormat="1" ht="6" customHeight="1">
      <c r="A6" s="112"/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12"/>
      <c r="AJ6" s="23"/>
      <c r="AK6" s="6"/>
      <c r="AL6" s="6"/>
      <c r="AN6" s="24"/>
      <c r="AV6" s="23"/>
      <c r="AW6" s="23"/>
      <c r="AX6" s="23"/>
      <c r="AY6" s="23"/>
      <c r="BK6" s="167"/>
      <c r="BL6" s="167"/>
      <c r="BM6" s="164"/>
      <c r="BN6" s="167"/>
      <c r="BO6" s="167"/>
      <c r="BP6" s="167"/>
      <c r="BQ6" s="167"/>
      <c r="BR6" s="167"/>
      <c r="BS6" s="167"/>
      <c r="BT6" s="167"/>
      <c r="BU6" s="167"/>
      <c r="BV6" s="167"/>
      <c r="BW6" s="167"/>
    </row>
    <row r="7" spans="1:78" ht="24" customHeight="1">
      <c r="A7" s="389" t="s">
        <v>150</v>
      </c>
      <c r="B7" s="389"/>
      <c r="C7" s="389"/>
      <c r="D7" s="389"/>
      <c r="E7" s="389"/>
      <c r="F7" s="389"/>
      <c r="G7" s="389"/>
      <c r="H7" s="390"/>
      <c r="I7" s="391" t="s">
        <v>151</v>
      </c>
      <c r="J7" s="391"/>
      <c r="K7" s="391"/>
      <c r="L7" s="391"/>
      <c r="M7" s="391"/>
      <c r="N7" s="391"/>
      <c r="O7" s="391"/>
      <c r="P7" s="391"/>
      <c r="Q7" s="391"/>
      <c r="R7" s="391" t="s">
        <v>152</v>
      </c>
      <c r="S7" s="391"/>
      <c r="T7" s="391"/>
      <c r="U7" s="391"/>
      <c r="V7" s="391"/>
      <c r="W7" s="391"/>
      <c r="X7" s="391"/>
      <c r="Y7" s="391"/>
      <c r="Z7" s="391"/>
      <c r="AA7" s="392" t="s">
        <v>65</v>
      </c>
      <c r="AB7" s="383"/>
      <c r="AC7" s="383"/>
      <c r="AD7" s="383"/>
      <c r="AE7" s="383"/>
      <c r="AF7" s="383"/>
      <c r="AG7" s="383"/>
      <c r="AH7" s="383"/>
      <c r="AI7" s="393"/>
      <c r="AJ7" s="168"/>
      <c r="AK7" s="6"/>
      <c r="AL7" s="6"/>
      <c r="AN7" s="270" t="s">
        <v>64</v>
      </c>
      <c r="AO7" s="271"/>
      <c r="AP7" s="271"/>
      <c r="AQ7" s="271"/>
      <c r="AR7" s="271"/>
      <c r="AS7" s="272"/>
      <c r="AT7" s="169"/>
      <c r="AU7" s="169"/>
      <c r="AV7" s="169"/>
      <c r="AW7" s="170"/>
      <c r="AX7" s="169"/>
      <c r="AY7" s="169"/>
      <c r="AZ7" s="169"/>
      <c r="BA7" s="169"/>
      <c r="BB7" s="171"/>
      <c r="BM7" s="164"/>
    </row>
    <row r="8" spans="1:78" ht="24" customHeight="1">
      <c r="A8" s="197"/>
      <c r="B8" s="389">
        <f>AW8</f>
        <v>0</v>
      </c>
      <c r="C8" s="389"/>
      <c r="D8" s="389" t="str">
        <f>AY8</f>
        <v>〜</v>
      </c>
      <c r="E8" s="389"/>
      <c r="F8" s="389">
        <f>AZ8</f>
        <v>0</v>
      </c>
      <c r="G8" s="389"/>
      <c r="H8" s="198" t="str">
        <f>BB8</f>
        <v>H</v>
      </c>
      <c r="I8" s="397">
        <f>COUNTIF(Q14:S44,"&gt;0")</f>
        <v>21</v>
      </c>
      <c r="J8" s="397"/>
      <c r="K8" s="397"/>
      <c r="L8" s="397"/>
      <c r="M8" s="397"/>
      <c r="N8" s="397"/>
      <c r="O8" s="397"/>
      <c r="P8" s="397"/>
      <c r="Q8" s="397"/>
      <c r="R8" s="398">
        <f>COUNTIF(F14:I44,"&gt;0")</f>
        <v>7</v>
      </c>
      <c r="S8" s="398"/>
      <c r="T8" s="398"/>
      <c r="U8" s="398"/>
      <c r="V8" s="398"/>
      <c r="W8" s="398"/>
      <c r="X8" s="398"/>
      <c r="Y8" s="398"/>
      <c r="Z8" s="398"/>
      <c r="AA8" s="399">
        <f>ROUND( SUM(T14:V44)*24-SUMIF(AK16:AK46,5,T14:V44)*24, 2)</f>
        <v>58.92</v>
      </c>
      <c r="AB8" s="400"/>
      <c r="AC8" s="400"/>
      <c r="AD8" s="400"/>
      <c r="AE8" s="400"/>
      <c r="AF8" s="401" t="str">
        <f>"("&amp;ROUNDDOWN(AA8,0)&amp;":"&amp;ROUNDUP((AA8-ROUNDDOWN(AA8,0))*60,0)&amp;")"</f>
        <v>(58:56)</v>
      </c>
      <c r="AG8" s="401"/>
      <c r="AH8" s="401"/>
      <c r="AI8" s="402"/>
      <c r="AJ8" s="172"/>
      <c r="AK8" s="173"/>
      <c r="AL8" s="173"/>
      <c r="AM8" s="26"/>
      <c r="AN8" s="394"/>
      <c r="AO8" s="395"/>
      <c r="AP8" s="395"/>
      <c r="AQ8" s="395"/>
      <c r="AR8" s="395"/>
      <c r="AS8" s="396"/>
      <c r="AT8" s="174"/>
      <c r="AU8" s="174"/>
      <c r="AV8" s="174"/>
      <c r="AW8" s="403"/>
      <c r="AX8" s="403"/>
      <c r="AY8" s="175" t="s">
        <v>153</v>
      </c>
      <c r="AZ8" s="403"/>
      <c r="BA8" s="403"/>
      <c r="BB8" s="176" t="s">
        <v>154</v>
      </c>
      <c r="BM8" s="164"/>
    </row>
    <row r="9" spans="1:78" ht="5.25" customHeight="1">
      <c r="A9" s="177"/>
      <c r="B9" s="177"/>
      <c r="C9" s="177"/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63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  <c r="AE9" s="177"/>
      <c r="AF9" s="177"/>
      <c r="AG9" s="63"/>
      <c r="AH9" s="63"/>
      <c r="AI9" s="177"/>
      <c r="AJ9" s="168"/>
      <c r="AN9" s="270" t="s">
        <v>155</v>
      </c>
      <c r="AO9" s="404"/>
      <c r="AP9" s="404"/>
      <c r="AQ9" s="404"/>
      <c r="AR9" s="404"/>
      <c r="AS9" s="405"/>
      <c r="AT9" s="409">
        <f>勤務表!BD8</f>
        <v>8</v>
      </c>
      <c r="AU9" s="404"/>
      <c r="AV9" s="404"/>
      <c r="AW9" s="404"/>
      <c r="AX9" s="404"/>
      <c r="AY9" s="404"/>
      <c r="AZ9" s="404"/>
      <c r="BA9" s="404"/>
      <c r="BB9" s="405"/>
      <c r="BQ9" s="160">
        <v>11</v>
      </c>
      <c r="BR9" s="160" t="str">
        <f>IF(BS9=0,"",BS9)</f>
        <v>振替休暇0.5</v>
      </c>
      <c r="BS9" s="160" t="s">
        <v>170</v>
      </c>
      <c r="BT9" s="160">
        <v>0</v>
      </c>
      <c r="BU9" s="160">
        <v>0</v>
      </c>
      <c r="BV9" s="160">
        <v>0.5</v>
      </c>
    </row>
    <row r="10" spans="1:78" ht="24" customHeight="1">
      <c r="A10" s="410" t="s">
        <v>1</v>
      </c>
      <c r="B10" s="411"/>
      <c r="C10" s="410" t="s">
        <v>2</v>
      </c>
      <c r="D10" s="416"/>
      <c r="E10" s="411"/>
      <c r="F10" s="392" t="s">
        <v>3</v>
      </c>
      <c r="G10" s="419"/>
      <c r="H10" s="419"/>
      <c r="I10" s="419"/>
      <c r="J10" s="419"/>
      <c r="K10" s="419"/>
      <c r="L10" s="419"/>
      <c r="M10" s="419"/>
      <c r="N10" s="419"/>
      <c r="O10" s="419"/>
      <c r="P10" s="420"/>
      <c r="Q10" s="391" t="s">
        <v>4</v>
      </c>
      <c r="R10" s="391"/>
      <c r="S10" s="391"/>
      <c r="T10" s="391"/>
      <c r="U10" s="391"/>
      <c r="V10" s="391"/>
      <c r="W10" s="410" t="s">
        <v>156</v>
      </c>
      <c r="X10" s="421"/>
      <c r="Y10" s="421"/>
      <c r="Z10" s="421"/>
      <c r="AA10" s="421"/>
      <c r="AB10" s="421"/>
      <c r="AC10" s="421"/>
      <c r="AD10" s="421"/>
      <c r="AE10" s="421"/>
      <c r="AF10" s="421"/>
      <c r="AG10" s="421"/>
      <c r="AH10" s="421"/>
      <c r="AI10" s="422"/>
      <c r="AJ10" s="168"/>
      <c r="AN10" s="406"/>
      <c r="AO10" s="407"/>
      <c r="AP10" s="407"/>
      <c r="AQ10" s="407"/>
      <c r="AR10" s="407"/>
      <c r="AS10" s="408"/>
      <c r="AT10" s="406"/>
      <c r="AU10" s="407"/>
      <c r="AV10" s="407"/>
      <c r="AW10" s="407"/>
      <c r="AX10" s="407"/>
      <c r="AY10" s="407"/>
      <c r="AZ10" s="407"/>
      <c r="BA10" s="407"/>
      <c r="BB10" s="408"/>
      <c r="BC10" s="11"/>
      <c r="BQ10" s="160">
        <v>12</v>
      </c>
      <c r="BR10" s="160" t="str">
        <f>IF(BS10=0,"",BS10)</f>
        <v>休日出勤</v>
      </c>
      <c r="BS10" s="160" t="s">
        <v>103</v>
      </c>
      <c r="BT10" s="160">
        <v>0</v>
      </c>
    </row>
    <row r="11" spans="1:78" s="4" customFormat="1" ht="6" customHeight="1">
      <c r="A11" s="412"/>
      <c r="B11" s="413"/>
      <c r="C11" s="412"/>
      <c r="D11" s="417"/>
      <c r="E11" s="413"/>
      <c r="F11" s="391" t="s">
        <v>60</v>
      </c>
      <c r="G11" s="429"/>
      <c r="H11" s="429"/>
      <c r="I11" s="429"/>
      <c r="J11" s="391" t="s">
        <v>61</v>
      </c>
      <c r="K11" s="429"/>
      <c r="L11" s="429"/>
      <c r="M11" s="429"/>
      <c r="N11" s="391" t="s">
        <v>157</v>
      </c>
      <c r="O11" s="391"/>
      <c r="P11" s="391"/>
      <c r="Q11" s="410" t="s">
        <v>50</v>
      </c>
      <c r="R11" s="416"/>
      <c r="S11" s="411"/>
      <c r="T11" s="430" t="s">
        <v>158</v>
      </c>
      <c r="U11" s="431"/>
      <c r="V11" s="432"/>
      <c r="W11" s="423"/>
      <c r="X11" s="424"/>
      <c r="Y11" s="424"/>
      <c r="Z11" s="424"/>
      <c r="AA11" s="424"/>
      <c r="AB11" s="424"/>
      <c r="AC11" s="424"/>
      <c r="AD11" s="424"/>
      <c r="AE11" s="424"/>
      <c r="AF11" s="424"/>
      <c r="AG11" s="424"/>
      <c r="AH11" s="424"/>
      <c r="AI11" s="425"/>
      <c r="AK11" s="55"/>
      <c r="AL11" s="55"/>
      <c r="AN11" s="294" t="s">
        <v>75</v>
      </c>
      <c r="AO11" s="294"/>
      <c r="AP11" s="294"/>
      <c r="AQ11" s="294"/>
      <c r="AR11" s="294"/>
      <c r="AS11" s="294"/>
      <c r="AT11" s="388">
        <f>勤務表!BD10</f>
        <v>10</v>
      </c>
      <c r="AU11" s="388"/>
      <c r="AV11" s="388"/>
      <c r="AW11" s="388"/>
      <c r="AX11" s="388"/>
      <c r="AY11" s="388"/>
      <c r="AZ11" s="388"/>
      <c r="BA11" s="388" t="s">
        <v>159</v>
      </c>
      <c r="BB11" s="388"/>
      <c r="BK11" s="167"/>
      <c r="BL11" s="167"/>
      <c r="BM11" s="167"/>
      <c r="BN11" s="167"/>
      <c r="BO11" s="167"/>
      <c r="BP11" s="167"/>
      <c r="BQ11" s="160"/>
      <c r="BR11" s="160"/>
      <c r="BS11" s="160"/>
      <c r="BT11" s="160"/>
      <c r="BU11" s="167"/>
      <c r="BV11" s="167"/>
      <c r="BW11" s="167"/>
    </row>
    <row r="12" spans="1:78" ht="18" customHeight="1">
      <c r="A12" s="412"/>
      <c r="B12" s="413"/>
      <c r="C12" s="412"/>
      <c r="D12" s="417"/>
      <c r="E12" s="413"/>
      <c r="F12" s="429"/>
      <c r="G12" s="429"/>
      <c r="H12" s="429"/>
      <c r="I12" s="429"/>
      <c r="J12" s="429"/>
      <c r="K12" s="429"/>
      <c r="L12" s="429"/>
      <c r="M12" s="429"/>
      <c r="N12" s="391"/>
      <c r="O12" s="391"/>
      <c r="P12" s="391"/>
      <c r="Q12" s="412"/>
      <c r="R12" s="417"/>
      <c r="S12" s="413"/>
      <c r="T12" s="433"/>
      <c r="U12" s="434"/>
      <c r="V12" s="435"/>
      <c r="W12" s="423"/>
      <c r="X12" s="424"/>
      <c r="Y12" s="424"/>
      <c r="Z12" s="424"/>
      <c r="AA12" s="424"/>
      <c r="AB12" s="424"/>
      <c r="AC12" s="424"/>
      <c r="AD12" s="424"/>
      <c r="AE12" s="424"/>
      <c r="AF12" s="424"/>
      <c r="AG12" s="424"/>
      <c r="AH12" s="424"/>
      <c r="AI12" s="425"/>
      <c r="AJ12" s="168"/>
      <c r="AK12" s="1"/>
      <c r="AL12" s="1"/>
      <c r="AN12" s="294"/>
      <c r="AO12" s="294"/>
      <c r="AP12" s="294"/>
      <c r="AQ12" s="294"/>
      <c r="AR12" s="294"/>
      <c r="AS12" s="294"/>
      <c r="AT12" s="388"/>
      <c r="AU12" s="388"/>
      <c r="AV12" s="388"/>
      <c r="AW12" s="388"/>
      <c r="AX12" s="388"/>
      <c r="AY12" s="388"/>
      <c r="AZ12" s="388"/>
      <c r="BA12" s="388"/>
      <c r="BB12" s="388"/>
    </row>
    <row r="13" spans="1:78" ht="5.25" customHeight="1">
      <c r="A13" s="414"/>
      <c r="B13" s="415"/>
      <c r="C13" s="414"/>
      <c r="D13" s="418"/>
      <c r="E13" s="415"/>
      <c r="F13" s="429"/>
      <c r="G13" s="429"/>
      <c r="H13" s="429"/>
      <c r="I13" s="429"/>
      <c r="J13" s="429"/>
      <c r="K13" s="429"/>
      <c r="L13" s="429"/>
      <c r="M13" s="429"/>
      <c r="N13" s="391"/>
      <c r="O13" s="391"/>
      <c r="P13" s="391"/>
      <c r="Q13" s="414"/>
      <c r="R13" s="418"/>
      <c r="S13" s="415"/>
      <c r="T13" s="436"/>
      <c r="U13" s="437"/>
      <c r="V13" s="438"/>
      <c r="W13" s="426"/>
      <c r="X13" s="427"/>
      <c r="Y13" s="427"/>
      <c r="Z13" s="427"/>
      <c r="AA13" s="427"/>
      <c r="AB13" s="427"/>
      <c r="AC13" s="427"/>
      <c r="AD13" s="427"/>
      <c r="AE13" s="427"/>
      <c r="AF13" s="427"/>
      <c r="AG13" s="427"/>
      <c r="AH13" s="427"/>
      <c r="AI13" s="428"/>
      <c r="AJ13" s="168"/>
      <c r="AK13" s="1"/>
      <c r="AL13" s="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</row>
    <row r="14" spans="1:78" ht="18" customHeight="1">
      <c r="A14" s="439">
        <f>DATE(AA3,AF3,1)</f>
        <v>42705</v>
      </c>
      <c r="B14" s="440"/>
      <c r="C14" s="441">
        <f t="shared" ref="C14:C41" si="0">WEEKDAY(A14)</f>
        <v>5</v>
      </c>
      <c r="D14" s="441"/>
      <c r="E14" s="441"/>
      <c r="F14" s="442" t="str">
        <f>IF(勤務表!K13="","",勤務表!K13)</f>
        <v/>
      </c>
      <c r="G14" s="419"/>
      <c r="H14" s="419"/>
      <c r="I14" s="420"/>
      <c r="J14" s="442" t="str">
        <f>IF(勤務表!O13="","",勤務表!O13)</f>
        <v/>
      </c>
      <c r="K14" s="419"/>
      <c r="L14" s="419"/>
      <c r="M14" s="420"/>
      <c r="N14" s="442">
        <f t="shared" ref="N14:N44" si="1">IF(A14="","",IF(AND($AT$14&lt;&gt;"",$AY$14&lt;&gt;"",$AT$14&lt;J14,$AY$14&gt;F14),MIN($AY$14,J14)-MAX($AT$14,F14),0)+IF(AND($AT$15&lt;&gt;"",$AY$15&lt;&gt;"",$AT$15&lt;J14,$AY$15&gt;F14),MIN($AY$15,J14)-MAX($AT$15,F14),0)+IF(AND($AT$16&lt;&gt;"",$AY$16&lt;&gt;"",$AT$16&lt;J14,$AY$16&gt;F14),MIN($AY$16,J14)-MAX($AT$16,F14),0)+IF(AND($AT$17&lt;&gt;"",$AY$17&lt;&gt;"",$AT$17&lt;J14,$AY$17&gt;F14),MIN($AY$17,J14)-MAX($AT$17,F14),0)+IF(AND($AT$18&lt;&gt;"",$AY$18&lt;&gt;"",$AT$18&lt;J14,$AY$18&gt;F14),MIN($AY$18,J14)-MAX($AT$18,F14),0))</f>
        <v>0</v>
      </c>
      <c r="O14" s="443"/>
      <c r="P14" s="444"/>
      <c r="Q14" s="445">
        <f>IF(祝日!A34=1,TIME(0,$AT$9 * 60,0),"")</f>
        <v>0.33333333333333331</v>
      </c>
      <c r="R14" s="446"/>
      <c r="S14" s="447"/>
      <c r="T14" s="442">
        <f>IF(F14="",IF(J14="",IF(Q14="","",祝日!J34-N14),祝日!J34-N14),祝日!J34-N14)</f>
        <v>0</v>
      </c>
      <c r="U14" s="443"/>
      <c r="V14" s="444"/>
      <c r="W14" s="448"/>
      <c r="X14" s="449"/>
      <c r="Y14" s="449"/>
      <c r="Z14" s="449"/>
      <c r="AA14" s="449"/>
      <c r="AB14" s="449"/>
      <c r="AC14" s="449"/>
      <c r="AD14" s="449"/>
      <c r="AE14" s="449"/>
      <c r="AF14" s="449"/>
      <c r="AG14" s="449"/>
      <c r="AH14" s="449"/>
      <c r="AI14" s="450"/>
      <c r="AJ14" s="168"/>
      <c r="AK14" s="1" t="s">
        <v>26</v>
      </c>
      <c r="AL14" s="1" t="s">
        <v>26</v>
      </c>
      <c r="AN14" s="319" t="s">
        <v>79</v>
      </c>
      <c r="AO14" s="320"/>
      <c r="AP14" s="320"/>
      <c r="AQ14" s="320"/>
      <c r="AR14" s="320"/>
      <c r="AS14" s="322"/>
      <c r="AT14" s="387">
        <f>IF(勤務表!BD13="","",勤務表!BD13)</f>
        <v>0.50694444444444442</v>
      </c>
      <c r="AU14" s="388"/>
      <c r="AV14" s="388"/>
      <c r="AW14" s="388"/>
      <c r="AX14" s="178" t="s">
        <v>160</v>
      </c>
      <c r="AY14" s="387">
        <f>IF(勤務表!BI13="","",勤務表!BI13)</f>
        <v>0.53819444444444442</v>
      </c>
      <c r="AZ14" s="388"/>
      <c r="BA14" s="388"/>
      <c r="BB14" s="388"/>
      <c r="BC14" s="179"/>
      <c r="BD14" s="179"/>
    </row>
    <row r="15" spans="1:78" ht="18" customHeight="1">
      <c r="A15" s="439">
        <f>IF(A14="","",IF(MONTH(A14+1)&lt;&gt;MONTH(A14),"",A14+1))</f>
        <v>42706</v>
      </c>
      <c r="B15" s="440"/>
      <c r="C15" s="441">
        <f t="shared" si="0"/>
        <v>6</v>
      </c>
      <c r="D15" s="441"/>
      <c r="E15" s="441"/>
      <c r="F15" s="442" t="str">
        <f>IF(勤務表!K14="","",勤務表!K14)</f>
        <v/>
      </c>
      <c r="G15" s="419"/>
      <c r="H15" s="419"/>
      <c r="I15" s="420"/>
      <c r="J15" s="442" t="str">
        <f>IF(勤務表!O14="","",勤務表!O14)</f>
        <v/>
      </c>
      <c r="K15" s="419"/>
      <c r="L15" s="419"/>
      <c r="M15" s="420"/>
      <c r="N15" s="442">
        <f t="shared" si="1"/>
        <v>0</v>
      </c>
      <c r="O15" s="443"/>
      <c r="P15" s="444"/>
      <c r="Q15" s="445">
        <f>IF(祝日!A35=1,TIME(0,$AT$9 * 60,0),"")</f>
        <v>0.33333333333333331</v>
      </c>
      <c r="R15" s="446"/>
      <c r="S15" s="447"/>
      <c r="T15" s="442">
        <f>IF(F15="",IF(J15="",IF(Q15="","",祝日!J35-N15),祝日!J35-N15),祝日!J35-N15)</f>
        <v>0</v>
      </c>
      <c r="U15" s="443"/>
      <c r="V15" s="444"/>
      <c r="W15" s="448"/>
      <c r="X15" s="449"/>
      <c r="Y15" s="449"/>
      <c r="Z15" s="449"/>
      <c r="AA15" s="449"/>
      <c r="AB15" s="449"/>
      <c r="AC15" s="449"/>
      <c r="AD15" s="449"/>
      <c r="AE15" s="449"/>
      <c r="AF15" s="449"/>
      <c r="AG15" s="449"/>
      <c r="AH15" s="449"/>
      <c r="AI15" s="450"/>
      <c r="AJ15" s="168"/>
      <c r="AK15" s="1" t="s">
        <v>26</v>
      </c>
      <c r="AL15" s="1" t="s">
        <v>26</v>
      </c>
      <c r="AN15" s="319" t="s">
        <v>80</v>
      </c>
      <c r="AO15" s="320"/>
      <c r="AP15" s="320"/>
      <c r="AQ15" s="320"/>
      <c r="AR15" s="320"/>
      <c r="AS15" s="322"/>
      <c r="AT15" s="387" t="str">
        <f>IF(勤務表!BD14="","",勤務表!BD14)</f>
        <v/>
      </c>
      <c r="AU15" s="388"/>
      <c r="AV15" s="388"/>
      <c r="AW15" s="388"/>
      <c r="AX15" s="178" t="s">
        <v>160</v>
      </c>
      <c r="AY15" s="387" t="str">
        <f>IF(勤務表!BI14="","",勤務表!BI14)</f>
        <v/>
      </c>
      <c r="AZ15" s="388"/>
      <c r="BA15" s="388"/>
      <c r="BB15" s="388"/>
      <c r="BC15" s="179"/>
      <c r="BM15" s="180"/>
    </row>
    <row r="16" spans="1:78" ht="18" customHeight="1">
      <c r="A16" s="439">
        <f t="shared" ref="A16:A44" si="2">IF(A15="","",IF(MONTH(A15+1)&lt;&gt;MONTH(A15),"",A15+1))</f>
        <v>42707</v>
      </c>
      <c r="B16" s="440"/>
      <c r="C16" s="441">
        <f t="shared" si="0"/>
        <v>7</v>
      </c>
      <c r="D16" s="441"/>
      <c r="E16" s="441"/>
      <c r="F16" s="442" t="str">
        <f>IF(勤務表!K15="","",勤務表!K15)</f>
        <v/>
      </c>
      <c r="G16" s="419"/>
      <c r="H16" s="419"/>
      <c r="I16" s="420"/>
      <c r="J16" s="442" t="str">
        <f>IF(勤務表!O15="","",勤務表!O15)</f>
        <v/>
      </c>
      <c r="K16" s="419"/>
      <c r="L16" s="419"/>
      <c r="M16" s="420"/>
      <c r="N16" s="442">
        <f t="shared" si="1"/>
        <v>0</v>
      </c>
      <c r="O16" s="443"/>
      <c r="P16" s="444"/>
      <c r="Q16" s="445" t="str">
        <f>IF(祝日!A36=1,TIME(0,$AT$9 * 60,0),"")</f>
        <v/>
      </c>
      <c r="R16" s="446"/>
      <c r="S16" s="447"/>
      <c r="T16" s="442" t="str">
        <f>IF(F16="",IF(J16="",IF(Q16="","",祝日!J36-N16),祝日!J36-N16),祝日!J36-N16)</f>
        <v/>
      </c>
      <c r="U16" s="443"/>
      <c r="V16" s="444"/>
      <c r="W16" s="448"/>
      <c r="X16" s="449"/>
      <c r="Y16" s="449"/>
      <c r="Z16" s="449"/>
      <c r="AA16" s="449"/>
      <c r="AB16" s="449"/>
      <c r="AC16" s="449"/>
      <c r="AD16" s="449"/>
      <c r="AE16" s="449"/>
      <c r="AF16" s="449"/>
      <c r="AG16" s="449"/>
      <c r="AH16" s="449"/>
      <c r="AI16" s="450"/>
      <c r="AJ16" s="181"/>
      <c r="AK16" s="1" t="s">
        <v>26</v>
      </c>
      <c r="AL16" s="1" t="s">
        <v>26</v>
      </c>
      <c r="AN16" s="319" t="s">
        <v>81</v>
      </c>
      <c r="AO16" s="320"/>
      <c r="AP16" s="320"/>
      <c r="AQ16" s="320"/>
      <c r="AR16" s="320"/>
      <c r="AS16" s="322"/>
      <c r="AT16" s="387" t="str">
        <f>IF(勤務表!BD15="","",勤務表!BD15)</f>
        <v/>
      </c>
      <c r="AU16" s="388"/>
      <c r="AV16" s="388"/>
      <c r="AW16" s="388"/>
      <c r="AX16" s="178" t="s">
        <v>160</v>
      </c>
      <c r="AY16" s="387" t="str">
        <f>IF(勤務表!BI15="","",勤務表!BI15)</f>
        <v/>
      </c>
      <c r="AZ16" s="388"/>
      <c r="BA16" s="388"/>
      <c r="BB16" s="388"/>
      <c r="BC16" s="179"/>
      <c r="BM16" s="182"/>
    </row>
    <row r="17" spans="1:75" ht="18" customHeight="1">
      <c r="A17" s="439">
        <f t="shared" si="2"/>
        <v>42708</v>
      </c>
      <c r="B17" s="440"/>
      <c r="C17" s="441">
        <f t="shared" si="0"/>
        <v>1</v>
      </c>
      <c r="D17" s="441"/>
      <c r="E17" s="441"/>
      <c r="F17" s="442" t="str">
        <f>IF(勤務表!K16="","",勤務表!K16)</f>
        <v/>
      </c>
      <c r="G17" s="419"/>
      <c r="H17" s="419"/>
      <c r="I17" s="420"/>
      <c r="J17" s="442" t="str">
        <f>IF(勤務表!O16="","",勤務表!O16)</f>
        <v/>
      </c>
      <c r="K17" s="419"/>
      <c r="L17" s="419"/>
      <c r="M17" s="420"/>
      <c r="N17" s="442">
        <f t="shared" si="1"/>
        <v>0</v>
      </c>
      <c r="O17" s="443"/>
      <c r="P17" s="444"/>
      <c r="Q17" s="445" t="str">
        <f>IF(祝日!A37=1,TIME(0,$AT$9 * 60,0),"")</f>
        <v/>
      </c>
      <c r="R17" s="446"/>
      <c r="S17" s="447"/>
      <c r="T17" s="442" t="str">
        <f>IF(F17="",IF(J17="",IF(Q17="","",祝日!J37-N17),祝日!J37-N17),祝日!J37-N17)</f>
        <v/>
      </c>
      <c r="U17" s="443"/>
      <c r="V17" s="444"/>
      <c r="W17" s="448"/>
      <c r="X17" s="449"/>
      <c r="Y17" s="449"/>
      <c r="Z17" s="449"/>
      <c r="AA17" s="449"/>
      <c r="AB17" s="449"/>
      <c r="AC17" s="449"/>
      <c r="AD17" s="449"/>
      <c r="AE17" s="449"/>
      <c r="AF17" s="449"/>
      <c r="AG17" s="449"/>
      <c r="AH17" s="449"/>
      <c r="AI17" s="450"/>
      <c r="AJ17" s="168"/>
      <c r="AK17" s="1" t="s">
        <v>26</v>
      </c>
      <c r="AL17" s="1" t="s">
        <v>26</v>
      </c>
      <c r="AM17" s="4"/>
      <c r="AN17" s="319" t="s">
        <v>84</v>
      </c>
      <c r="AO17" s="320"/>
      <c r="AP17" s="320"/>
      <c r="AQ17" s="320"/>
      <c r="AR17" s="320"/>
      <c r="AS17" s="322"/>
      <c r="AT17" s="387" t="str">
        <f>IF(勤務表!BD16="","",勤務表!BD16)</f>
        <v/>
      </c>
      <c r="AU17" s="388"/>
      <c r="AV17" s="388"/>
      <c r="AW17" s="388"/>
      <c r="AX17" s="178" t="s">
        <v>160</v>
      </c>
      <c r="AY17" s="387" t="str">
        <f>IF(勤務表!BI16="","",勤務表!BI16)</f>
        <v/>
      </c>
      <c r="AZ17" s="388"/>
      <c r="BA17" s="388"/>
      <c r="BB17" s="388"/>
      <c r="BM17" s="182"/>
    </row>
    <row r="18" spans="1:75" ht="18" customHeight="1">
      <c r="A18" s="439">
        <f t="shared" si="2"/>
        <v>42709</v>
      </c>
      <c r="B18" s="440"/>
      <c r="C18" s="441">
        <f t="shared" si="0"/>
        <v>2</v>
      </c>
      <c r="D18" s="441"/>
      <c r="E18" s="441"/>
      <c r="F18" s="442" t="str">
        <f>IF(勤務表!K17="","",勤務表!K17)</f>
        <v/>
      </c>
      <c r="G18" s="419"/>
      <c r="H18" s="419"/>
      <c r="I18" s="420"/>
      <c r="J18" s="442" t="str">
        <f>IF(勤務表!O17="","",勤務表!O17)</f>
        <v/>
      </c>
      <c r="K18" s="419"/>
      <c r="L18" s="419"/>
      <c r="M18" s="420"/>
      <c r="N18" s="442">
        <f t="shared" si="1"/>
        <v>0</v>
      </c>
      <c r="O18" s="443"/>
      <c r="P18" s="444"/>
      <c r="Q18" s="445">
        <f>IF(祝日!A38=1,TIME(0,$AT$9 * 60,0),"")</f>
        <v>0.33333333333333331</v>
      </c>
      <c r="R18" s="446"/>
      <c r="S18" s="447"/>
      <c r="T18" s="442">
        <f>IF(F18="",IF(J18="",IF(Q18="","",祝日!J38-N18),祝日!J38-N18),祝日!J38-N18)</f>
        <v>0</v>
      </c>
      <c r="U18" s="443"/>
      <c r="V18" s="444"/>
      <c r="W18" s="448"/>
      <c r="X18" s="449"/>
      <c r="Y18" s="449"/>
      <c r="Z18" s="449"/>
      <c r="AA18" s="449"/>
      <c r="AB18" s="449"/>
      <c r="AC18" s="449"/>
      <c r="AD18" s="449"/>
      <c r="AE18" s="449"/>
      <c r="AF18" s="449"/>
      <c r="AG18" s="449"/>
      <c r="AH18" s="449"/>
      <c r="AI18" s="450"/>
      <c r="AJ18" s="168"/>
      <c r="AK18" s="1" t="s">
        <v>26</v>
      </c>
      <c r="AL18" s="1" t="s">
        <v>26</v>
      </c>
      <c r="AM18" s="4"/>
      <c r="AN18" s="319" t="s">
        <v>85</v>
      </c>
      <c r="AO18" s="320"/>
      <c r="AP18" s="320"/>
      <c r="AQ18" s="320"/>
      <c r="AR18" s="320"/>
      <c r="AS18" s="322"/>
      <c r="AT18" s="387" t="str">
        <f>IF(勤務表!BD17="","",勤務表!BD17)</f>
        <v/>
      </c>
      <c r="AU18" s="388"/>
      <c r="AV18" s="388"/>
      <c r="AW18" s="388"/>
      <c r="AX18" s="178" t="s">
        <v>160</v>
      </c>
      <c r="AY18" s="387" t="str">
        <f>IF(勤務表!BI17="","",勤務表!BI17)</f>
        <v/>
      </c>
      <c r="AZ18" s="388"/>
      <c r="BA18" s="388"/>
      <c r="BB18" s="388"/>
      <c r="BM18" s="182"/>
    </row>
    <row r="19" spans="1:75" s="4" customFormat="1" ht="18" customHeight="1">
      <c r="A19" s="439">
        <f t="shared" si="2"/>
        <v>42710</v>
      </c>
      <c r="B19" s="440"/>
      <c r="C19" s="441">
        <f t="shared" si="0"/>
        <v>3</v>
      </c>
      <c r="D19" s="441"/>
      <c r="E19" s="441"/>
      <c r="F19" s="442" t="str">
        <f>IF(勤務表!K18="","",勤務表!K18)</f>
        <v/>
      </c>
      <c r="G19" s="419"/>
      <c r="H19" s="419"/>
      <c r="I19" s="420"/>
      <c r="J19" s="442" t="str">
        <f>IF(勤務表!O18="","",勤務表!O18)</f>
        <v/>
      </c>
      <c r="K19" s="419"/>
      <c r="L19" s="419"/>
      <c r="M19" s="420"/>
      <c r="N19" s="442">
        <f t="shared" si="1"/>
        <v>0</v>
      </c>
      <c r="O19" s="443"/>
      <c r="P19" s="444"/>
      <c r="Q19" s="445">
        <f>IF(祝日!A39=1,TIME(0,$AT$9 * 60,0),"")</f>
        <v>0.33333333333333331</v>
      </c>
      <c r="R19" s="446"/>
      <c r="S19" s="447"/>
      <c r="T19" s="442">
        <f>IF(F19="",IF(J19="",IF(Q19="","",祝日!J39-N19),祝日!J39-N19),祝日!J39-N19)</f>
        <v>0</v>
      </c>
      <c r="U19" s="443"/>
      <c r="V19" s="444"/>
      <c r="W19" s="448"/>
      <c r="X19" s="449"/>
      <c r="Y19" s="449"/>
      <c r="Z19" s="449"/>
      <c r="AA19" s="449"/>
      <c r="AB19" s="449"/>
      <c r="AC19" s="449"/>
      <c r="AD19" s="449"/>
      <c r="AE19" s="449"/>
      <c r="AF19" s="449"/>
      <c r="AG19" s="449"/>
      <c r="AH19" s="449"/>
      <c r="AI19" s="450"/>
      <c r="AK19" s="1" t="s">
        <v>26</v>
      </c>
      <c r="AL19" s="1" t="s">
        <v>26</v>
      </c>
      <c r="AN19" s="294" t="s">
        <v>161</v>
      </c>
      <c r="AO19" s="294"/>
      <c r="AP19" s="294"/>
      <c r="AQ19" s="294"/>
      <c r="AR19" s="294"/>
      <c r="AS19" s="294"/>
      <c r="AT19" s="451">
        <f>COUNTIF(AK14:AK44,4)</f>
        <v>0</v>
      </c>
      <c r="AU19" s="451"/>
      <c r="AV19" s="451"/>
      <c r="AW19" s="451"/>
      <c r="AX19" s="451"/>
      <c r="AY19" s="451"/>
      <c r="AZ19" s="451"/>
      <c r="BA19" s="451"/>
      <c r="BB19" s="451"/>
      <c r="BK19" s="167"/>
      <c r="BL19" s="167"/>
      <c r="BM19" s="182"/>
      <c r="BN19" s="167"/>
      <c r="BO19" s="167"/>
      <c r="BP19" s="167"/>
      <c r="BQ19" s="167"/>
      <c r="BR19" s="160"/>
      <c r="BS19" s="160"/>
      <c r="BT19" s="160"/>
      <c r="BU19" s="167"/>
      <c r="BV19" s="167"/>
      <c r="BW19" s="167"/>
    </row>
    <row r="20" spans="1:75" ht="18" customHeight="1">
      <c r="A20" s="439">
        <f t="shared" si="2"/>
        <v>42711</v>
      </c>
      <c r="B20" s="440"/>
      <c r="C20" s="441">
        <f t="shared" si="0"/>
        <v>4</v>
      </c>
      <c r="D20" s="441"/>
      <c r="E20" s="441"/>
      <c r="F20" s="442" t="str">
        <f>IF(勤務表!K19="","",勤務表!K19)</f>
        <v/>
      </c>
      <c r="G20" s="419"/>
      <c r="H20" s="419"/>
      <c r="I20" s="420"/>
      <c r="J20" s="442" t="str">
        <f>IF(勤務表!O19="","",勤務表!O19)</f>
        <v/>
      </c>
      <c r="K20" s="419"/>
      <c r="L20" s="419"/>
      <c r="M20" s="420"/>
      <c r="N20" s="442">
        <f t="shared" si="1"/>
        <v>0</v>
      </c>
      <c r="O20" s="443"/>
      <c r="P20" s="444"/>
      <c r="Q20" s="445">
        <f>IF(祝日!A40=1,TIME(0,$AT$9 * 60,0),"")</f>
        <v>0.33333333333333331</v>
      </c>
      <c r="R20" s="446"/>
      <c r="S20" s="447"/>
      <c r="T20" s="442">
        <f>IF(F20="",IF(J20="",IF(Q20="","",祝日!J40-N20),祝日!J40-N20),祝日!J40-N20)</f>
        <v>0</v>
      </c>
      <c r="U20" s="443"/>
      <c r="V20" s="444"/>
      <c r="W20" s="448"/>
      <c r="X20" s="449"/>
      <c r="Y20" s="449"/>
      <c r="Z20" s="449"/>
      <c r="AA20" s="449"/>
      <c r="AB20" s="449"/>
      <c r="AC20" s="449"/>
      <c r="AD20" s="449"/>
      <c r="AE20" s="449"/>
      <c r="AF20" s="449"/>
      <c r="AG20" s="449"/>
      <c r="AH20" s="449"/>
      <c r="AI20" s="450"/>
      <c r="AJ20" s="168"/>
      <c r="AK20" s="1" t="s">
        <v>26</v>
      </c>
      <c r="AL20" s="1" t="s">
        <v>26</v>
      </c>
      <c r="AM20" s="4"/>
      <c r="AN20" s="294" t="s">
        <v>162</v>
      </c>
      <c r="AO20" s="294"/>
      <c r="AP20" s="294"/>
      <c r="AQ20" s="294"/>
      <c r="AR20" s="294"/>
      <c r="AS20" s="294"/>
      <c r="AT20" s="451">
        <f>COUNTIF(AK14:AK44,5)</f>
        <v>0</v>
      </c>
      <c r="AU20" s="451"/>
      <c r="AV20" s="451"/>
      <c r="AW20" s="451"/>
      <c r="AX20" s="451"/>
      <c r="AY20" s="451"/>
      <c r="AZ20" s="451"/>
      <c r="BA20" s="451"/>
      <c r="BB20" s="451"/>
      <c r="BM20" s="182"/>
    </row>
    <row r="21" spans="1:75" ht="18" customHeight="1">
      <c r="A21" s="439">
        <f t="shared" si="2"/>
        <v>42712</v>
      </c>
      <c r="B21" s="440"/>
      <c r="C21" s="441">
        <f t="shared" si="0"/>
        <v>5</v>
      </c>
      <c r="D21" s="441"/>
      <c r="E21" s="441"/>
      <c r="F21" s="442" t="str">
        <f>IF(勤務表!K20="","",勤務表!K20)</f>
        <v/>
      </c>
      <c r="G21" s="419"/>
      <c r="H21" s="419"/>
      <c r="I21" s="420"/>
      <c r="J21" s="442" t="str">
        <f>IF(勤務表!O20="","",勤務表!O20)</f>
        <v/>
      </c>
      <c r="K21" s="419"/>
      <c r="L21" s="419"/>
      <c r="M21" s="420"/>
      <c r="N21" s="442">
        <f t="shared" si="1"/>
        <v>0</v>
      </c>
      <c r="O21" s="443"/>
      <c r="P21" s="444"/>
      <c r="Q21" s="445">
        <f>IF(祝日!A41=1,TIME(0,$AT$9 * 60,0),"")</f>
        <v>0.33333333333333331</v>
      </c>
      <c r="R21" s="446"/>
      <c r="S21" s="447"/>
      <c r="T21" s="442">
        <f>IF(F21="",IF(J21="",IF(Q21="","",祝日!J41-N21),祝日!J41-N21),祝日!J41-N21)</f>
        <v>0</v>
      </c>
      <c r="U21" s="443"/>
      <c r="V21" s="444"/>
      <c r="W21" s="448"/>
      <c r="X21" s="449"/>
      <c r="Y21" s="449"/>
      <c r="Z21" s="449"/>
      <c r="AA21" s="449"/>
      <c r="AB21" s="449"/>
      <c r="AC21" s="449"/>
      <c r="AD21" s="449"/>
      <c r="AE21" s="449"/>
      <c r="AF21" s="449"/>
      <c r="AG21" s="449"/>
      <c r="AH21" s="449"/>
      <c r="AI21" s="450"/>
      <c r="AJ21" s="168"/>
      <c r="AK21" s="1" t="s">
        <v>26</v>
      </c>
      <c r="AL21" s="1" t="s">
        <v>26</v>
      </c>
      <c r="AN21" s="294" t="s">
        <v>163</v>
      </c>
      <c r="AO21" s="294"/>
      <c r="AP21" s="294"/>
      <c r="AQ21" s="294"/>
      <c r="AR21" s="294"/>
      <c r="AS21" s="294"/>
      <c r="AT21" s="451">
        <f>COUNTIF(AK14:AK44,10) + COUNTIF(AK16:AK46,11)*0.5</f>
        <v>0</v>
      </c>
      <c r="AU21" s="451"/>
      <c r="AV21" s="451"/>
      <c r="AW21" s="451"/>
      <c r="AX21" s="451"/>
      <c r="AY21" s="451"/>
      <c r="AZ21" s="451"/>
      <c r="BA21" s="451"/>
      <c r="BB21" s="451"/>
      <c r="BM21" s="182"/>
    </row>
    <row r="22" spans="1:75" ht="18" customHeight="1">
      <c r="A22" s="439">
        <f t="shared" si="2"/>
        <v>42713</v>
      </c>
      <c r="B22" s="440"/>
      <c r="C22" s="441">
        <f t="shared" si="0"/>
        <v>6</v>
      </c>
      <c r="D22" s="441"/>
      <c r="E22" s="441"/>
      <c r="F22" s="442" t="str">
        <f>IF(勤務表!K21="","",勤務表!K21)</f>
        <v/>
      </c>
      <c r="G22" s="419"/>
      <c r="H22" s="419"/>
      <c r="I22" s="420"/>
      <c r="J22" s="442" t="str">
        <f>IF(勤務表!O21="","",勤務表!O21)</f>
        <v/>
      </c>
      <c r="K22" s="419"/>
      <c r="L22" s="419"/>
      <c r="M22" s="420"/>
      <c r="N22" s="442">
        <f t="shared" si="1"/>
        <v>0</v>
      </c>
      <c r="O22" s="443"/>
      <c r="P22" s="444"/>
      <c r="Q22" s="445">
        <f>IF(祝日!A42=1,TIME(0,$AT$9 * 60,0),"")</f>
        <v>0.33333333333333331</v>
      </c>
      <c r="R22" s="446"/>
      <c r="S22" s="447"/>
      <c r="T22" s="442">
        <f>IF(F22="",IF(J22="",IF(Q22="","",祝日!J42-N22),祝日!J42-N22),祝日!J42-N22)</f>
        <v>0</v>
      </c>
      <c r="U22" s="443"/>
      <c r="V22" s="444"/>
      <c r="W22" s="448"/>
      <c r="X22" s="449"/>
      <c r="Y22" s="449"/>
      <c r="Z22" s="449"/>
      <c r="AA22" s="449"/>
      <c r="AB22" s="449"/>
      <c r="AC22" s="449"/>
      <c r="AD22" s="449"/>
      <c r="AE22" s="449"/>
      <c r="AF22" s="449"/>
      <c r="AG22" s="449"/>
      <c r="AH22" s="449"/>
      <c r="AI22" s="450"/>
      <c r="AJ22" s="168"/>
      <c r="AK22" s="1" t="s">
        <v>26</v>
      </c>
      <c r="AL22" s="1" t="s">
        <v>26</v>
      </c>
      <c r="AN22" s="294" t="s">
        <v>164</v>
      </c>
      <c r="AO22" s="294"/>
      <c r="AP22" s="294"/>
      <c r="AQ22" s="294"/>
      <c r="AR22" s="294"/>
      <c r="AS22" s="294"/>
      <c r="AT22" s="451">
        <f>COUNTIF(AK14:AK44,12)</f>
        <v>0</v>
      </c>
      <c r="AU22" s="451"/>
      <c r="AV22" s="451"/>
      <c r="AW22" s="451"/>
      <c r="AX22" s="451"/>
      <c r="AY22" s="451"/>
      <c r="AZ22" s="451"/>
      <c r="BA22" s="451"/>
      <c r="BB22" s="451"/>
      <c r="BM22" s="182">
        <f>IF(ISERROR(VLOOKUP(#REF!,$BR$2:$BU$15,4,FALSE)),0,VLOOKUP(#REF!,$BR$2:$BU$15,4,FALSE))</f>
        <v>0</v>
      </c>
    </row>
    <row r="23" spans="1:75" ht="18" customHeight="1">
      <c r="A23" s="439">
        <f t="shared" si="2"/>
        <v>42714</v>
      </c>
      <c r="B23" s="440"/>
      <c r="C23" s="441">
        <f t="shared" si="0"/>
        <v>7</v>
      </c>
      <c r="D23" s="441"/>
      <c r="E23" s="441"/>
      <c r="F23" s="442" t="str">
        <f>IF(勤務表!K22="","",勤務表!K22)</f>
        <v/>
      </c>
      <c r="G23" s="419"/>
      <c r="H23" s="419"/>
      <c r="I23" s="420"/>
      <c r="J23" s="442" t="str">
        <f>IF(勤務表!O22="","",勤務表!O22)</f>
        <v/>
      </c>
      <c r="K23" s="419"/>
      <c r="L23" s="419"/>
      <c r="M23" s="420"/>
      <c r="N23" s="442">
        <f t="shared" si="1"/>
        <v>0</v>
      </c>
      <c r="O23" s="443"/>
      <c r="P23" s="444"/>
      <c r="Q23" s="445" t="str">
        <f>IF(祝日!A43=1,TIME(0,$AT$9 * 60,0),"")</f>
        <v/>
      </c>
      <c r="R23" s="446"/>
      <c r="S23" s="447"/>
      <c r="T23" s="442" t="str">
        <f>IF(F23="",IF(J23="",IF(Q23="","",祝日!J43-N23),祝日!J43-N23),祝日!J43-N23)</f>
        <v/>
      </c>
      <c r="U23" s="443"/>
      <c r="V23" s="444"/>
      <c r="W23" s="448"/>
      <c r="X23" s="449"/>
      <c r="Y23" s="449"/>
      <c r="Z23" s="449"/>
      <c r="AA23" s="449"/>
      <c r="AB23" s="449"/>
      <c r="AC23" s="449"/>
      <c r="AD23" s="449"/>
      <c r="AE23" s="449"/>
      <c r="AF23" s="449"/>
      <c r="AG23" s="449"/>
      <c r="AH23" s="449"/>
      <c r="AI23" s="450"/>
      <c r="AJ23" s="168"/>
      <c r="AK23" s="1" t="s">
        <v>26</v>
      </c>
      <c r="AL23" s="1" t="s">
        <v>26</v>
      </c>
      <c r="AN23" s="294" t="s">
        <v>165</v>
      </c>
      <c r="AO23" s="294"/>
      <c r="AP23" s="294"/>
      <c r="AQ23" s="294"/>
      <c r="AR23" s="294"/>
      <c r="AS23" s="294"/>
      <c r="AT23" s="451">
        <f>SUM(AL14:AL44)</f>
        <v>0</v>
      </c>
      <c r="AU23" s="451"/>
      <c r="AV23" s="451"/>
      <c r="AW23" s="451"/>
      <c r="AX23" s="451"/>
      <c r="AY23" s="451"/>
      <c r="AZ23" s="451"/>
      <c r="BA23" s="451"/>
      <c r="BB23" s="451"/>
      <c r="BM23" s="182">
        <f>IF(ISERROR(VLOOKUP(#REF!,$BR$2:$BU$15,4,FALSE)),0,VLOOKUP(#REF!,$BR$2:$BU$15,4,FALSE))</f>
        <v>0</v>
      </c>
    </row>
    <row r="24" spans="1:75" ht="18" customHeight="1">
      <c r="A24" s="439">
        <f t="shared" si="2"/>
        <v>42715</v>
      </c>
      <c r="B24" s="440"/>
      <c r="C24" s="441">
        <f t="shared" si="0"/>
        <v>1</v>
      </c>
      <c r="D24" s="441"/>
      <c r="E24" s="441"/>
      <c r="F24" s="442" t="str">
        <f>IF(勤務表!K23="","",勤務表!K23)</f>
        <v/>
      </c>
      <c r="G24" s="419"/>
      <c r="H24" s="419"/>
      <c r="I24" s="420"/>
      <c r="J24" s="442" t="str">
        <f>IF(勤務表!O23="","",勤務表!O23)</f>
        <v/>
      </c>
      <c r="K24" s="419"/>
      <c r="L24" s="419"/>
      <c r="M24" s="420"/>
      <c r="N24" s="442">
        <f t="shared" si="1"/>
        <v>0</v>
      </c>
      <c r="O24" s="443"/>
      <c r="P24" s="444"/>
      <c r="Q24" s="445" t="str">
        <f>IF(祝日!A44=1,TIME(0,$AT$9 * 60,0),"")</f>
        <v/>
      </c>
      <c r="R24" s="446"/>
      <c r="S24" s="447"/>
      <c r="T24" s="442" t="str">
        <f>IF(F24="",IF(J24="",IF(Q24="","",祝日!J44-N24),祝日!J44-N24),祝日!J44-N24)</f>
        <v/>
      </c>
      <c r="U24" s="443"/>
      <c r="V24" s="444"/>
      <c r="W24" s="448"/>
      <c r="X24" s="449"/>
      <c r="Y24" s="449"/>
      <c r="Z24" s="449"/>
      <c r="AA24" s="449"/>
      <c r="AB24" s="449"/>
      <c r="AC24" s="449"/>
      <c r="AD24" s="449"/>
      <c r="AE24" s="449"/>
      <c r="AF24" s="449"/>
      <c r="AG24" s="449"/>
      <c r="AH24" s="449"/>
      <c r="AI24" s="450"/>
      <c r="AJ24" s="168"/>
      <c r="AK24" s="1" t="s">
        <v>26</v>
      </c>
      <c r="AL24" s="1" t="s">
        <v>26</v>
      </c>
      <c r="AN24" s="183"/>
      <c r="AO24" s="183"/>
      <c r="AP24" s="183"/>
      <c r="AQ24" s="452"/>
      <c r="AR24" s="452"/>
      <c r="AS24" s="452"/>
      <c r="AT24" s="452"/>
      <c r="AU24" s="452"/>
      <c r="AV24" s="452"/>
      <c r="AW24" s="168"/>
      <c r="AX24" s="168"/>
      <c r="AY24" s="168"/>
      <c r="BM24" s="182">
        <f>IF(ISERROR(VLOOKUP(#REF!,$BR$2:$BU$15,4,FALSE)),0,VLOOKUP(#REF!,$BR$2:$BU$15,4,FALSE))</f>
        <v>0</v>
      </c>
    </row>
    <row r="25" spans="1:75" ht="18" customHeight="1">
      <c r="A25" s="439">
        <f t="shared" si="2"/>
        <v>42716</v>
      </c>
      <c r="B25" s="440"/>
      <c r="C25" s="441">
        <f t="shared" si="0"/>
        <v>2</v>
      </c>
      <c r="D25" s="441"/>
      <c r="E25" s="441"/>
      <c r="F25" s="442" t="str">
        <f>IF(勤務表!K24="","",勤務表!K24)</f>
        <v/>
      </c>
      <c r="G25" s="419"/>
      <c r="H25" s="419"/>
      <c r="I25" s="420"/>
      <c r="J25" s="442" t="str">
        <f>IF(勤務表!O24="","",勤務表!O24)</f>
        <v/>
      </c>
      <c r="K25" s="419"/>
      <c r="L25" s="419"/>
      <c r="M25" s="420"/>
      <c r="N25" s="442">
        <f t="shared" si="1"/>
        <v>0</v>
      </c>
      <c r="O25" s="443"/>
      <c r="P25" s="444"/>
      <c r="Q25" s="445">
        <f>IF(祝日!A45=1,TIME(0,$AT$9 * 60,0),"")</f>
        <v>0.33333333333333331</v>
      </c>
      <c r="R25" s="446"/>
      <c r="S25" s="447"/>
      <c r="T25" s="442">
        <f>IF(F25="",IF(J25="",IF(Q25="","",祝日!J45-N25),祝日!J45-N25),祝日!J45-N25)</f>
        <v>0</v>
      </c>
      <c r="U25" s="443"/>
      <c r="V25" s="444"/>
      <c r="W25" s="448"/>
      <c r="X25" s="449"/>
      <c r="Y25" s="449"/>
      <c r="Z25" s="449"/>
      <c r="AA25" s="449"/>
      <c r="AB25" s="449"/>
      <c r="AC25" s="449"/>
      <c r="AD25" s="449"/>
      <c r="AE25" s="449"/>
      <c r="AF25" s="449"/>
      <c r="AG25" s="449"/>
      <c r="AH25" s="449"/>
      <c r="AI25" s="450"/>
      <c r="AJ25" s="168"/>
      <c r="AK25" s="1" t="s">
        <v>26</v>
      </c>
      <c r="AL25" s="1" t="s">
        <v>26</v>
      </c>
      <c r="AN25" s="183"/>
      <c r="AO25" s="183"/>
      <c r="AP25" s="183"/>
      <c r="AQ25" s="452"/>
      <c r="AR25" s="452"/>
      <c r="AS25" s="452"/>
      <c r="AT25" s="452"/>
      <c r="AU25" s="452"/>
      <c r="AV25" s="452"/>
      <c r="AW25" s="4"/>
      <c r="AX25" s="4"/>
      <c r="AY25" s="4"/>
      <c r="AZ25" s="4"/>
      <c r="BA25" s="4"/>
      <c r="BB25" s="4"/>
      <c r="BM25" s="182">
        <f>IF(ISERROR(VLOOKUP(#REF!,$BR$2:$BU$15,4,FALSE)),0,VLOOKUP(#REF!,$BR$2:$BU$15,4,FALSE))</f>
        <v>0</v>
      </c>
    </row>
    <row r="26" spans="1:75" ht="18" customHeight="1">
      <c r="A26" s="439">
        <f t="shared" si="2"/>
        <v>42717</v>
      </c>
      <c r="B26" s="440"/>
      <c r="C26" s="441">
        <f t="shared" si="0"/>
        <v>3</v>
      </c>
      <c r="D26" s="441"/>
      <c r="E26" s="441"/>
      <c r="F26" s="442" t="str">
        <f>IF(勤務表!K25="","",勤務表!K25)</f>
        <v/>
      </c>
      <c r="G26" s="419"/>
      <c r="H26" s="419"/>
      <c r="I26" s="420"/>
      <c r="J26" s="442" t="str">
        <f>IF(勤務表!O25="","",勤務表!O25)</f>
        <v/>
      </c>
      <c r="K26" s="419"/>
      <c r="L26" s="419"/>
      <c r="M26" s="420"/>
      <c r="N26" s="442">
        <f t="shared" si="1"/>
        <v>0</v>
      </c>
      <c r="O26" s="443"/>
      <c r="P26" s="444"/>
      <c r="Q26" s="445">
        <f>IF(祝日!A46=1,TIME(0,$AT$9 * 60,0),"")</f>
        <v>0.33333333333333331</v>
      </c>
      <c r="R26" s="446"/>
      <c r="S26" s="447"/>
      <c r="T26" s="442">
        <f>IF(F26="",IF(J26="",IF(Q26="","",祝日!J46-N26),祝日!J46-N26),祝日!J46-N26)</f>
        <v>0</v>
      </c>
      <c r="U26" s="443"/>
      <c r="V26" s="444"/>
      <c r="W26" s="448"/>
      <c r="X26" s="449"/>
      <c r="Y26" s="449"/>
      <c r="Z26" s="449"/>
      <c r="AA26" s="449"/>
      <c r="AB26" s="449"/>
      <c r="AC26" s="449"/>
      <c r="AD26" s="449"/>
      <c r="AE26" s="449"/>
      <c r="AF26" s="449"/>
      <c r="AG26" s="449"/>
      <c r="AH26" s="449"/>
      <c r="AI26" s="450"/>
      <c r="AJ26" s="168"/>
      <c r="AK26" s="1" t="s">
        <v>26</v>
      </c>
      <c r="AL26" s="1" t="s">
        <v>26</v>
      </c>
      <c r="AN26" s="183"/>
      <c r="AO26" s="183"/>
      <c r="AP26" s="183"/>
      <c r="AQ26" s="452"/>
      <c r="AR26" s="452"/>
      <c r="AS26" s="452"/>
      <c r="AT26" s="452"/>
      <c r="AU26" s="452"/>
      <c r="AV26" s="452"/>
      <c r="AW26" s="168"/>
      <c r="AX26" s="168"/>
      <c r="AY26" s="168"/>
      <c r="BM26" s="182">
        <f>IF(ISERROR(VLOOKUP(#REF!,$BR$2:$BU$15,4,FALSE)),0,VLOOKUP(#REF!,$BR$2:$BU$15,4,FALSE))</f>
        <v>0</v>
      </c>
    </row>
    <row r="27" spans="1:75" ht="18" customHeight="1">
      <c r="A27" s="439">
        <f t="shared" si="2"/>
        <v>42718</v>
      </c>
      <c r="B27" s="440"/>
      <c r="C27" s="441">
        <f t="shared" si="0"/>
        <v>4</v>
      </c>
      <c r="D27" s="441"/>
      <c r="E27" s="441"/>
      <c r="F27" s="442" t="str">
        <f>IF(勤務表!K26="","",勤務表!K26)</f>
        <v/>
      </c>
      <c r="G27" s="419"/>
      <c r="H27" s="419"/>
      <c r="I27" s="420"/>
      <c r="J27" s="442" t="str">
        <f>IF(勤務表!O26="","",勤務表!O26)</f>
        <v/>
      </c>
      <c r="K27" s="419"/>
      <c r="L27" s="419"/>
      <c r="M27" s="420"/>
      <c r="N27" s="442">
        <f t="shared" si="1"/>
        <v>0</v>
      </c>
      <c r="O27" s="443"/>
      <c r="P27" s="444"/>
      <c r="Q27" s="445">
        <f>IF(祝日!A47=1,TIME(0,$AT$9 * 60,0),"")</f>
        <v>0.33333333333333331</v>
      </c>
      <c r="R27" s="446"/>
      <c r="S27" s="447"/>
      <c r="T27" s="442">
        <f>IF(F27="",IF(J27="",IF(Q27="","",祝日!J47-N27),祝日!J47-N27),祝日!J47-N27)</f>
        <v>0</v>
      </c>
      <c r="U27" s="443"/>
      <c r="V27" s="444"/>
      <c r="W27" s="448"/>
      <c r="X27" s="449"/>
      <c r="Y27" s="449"/>
      <c r="Z27" s="449"/>
      <c r="AA27" s="449"/>
      <c r="AB27" s="449"/>
      <c r="AC27" s="449"/>
      <c r="AD27" s="449"/>
      <c r="AE27" s="449"/>
      <c r="AF27" s="449"/>
      <c r="AG27" s="449"/>
      <c r="AH27" s="449"/>
      <c r="AI27" s="450"/>
      <c r="AJ27" s="168"/>
      <c r="AK27" s="1" t="s">
        <v>26</v>
      </c>
      <c r="AL27" s="1" t="s">
        <v>26</v>
      </c>
      <c r="AQ27" s="452"/>
      <c r="AR27" s="452"/>
      <c r="AS27" s="452"/>
      <c r="AT27" s="452"/>
      <c r="AU27" s="452"/>
      <c r="AV27" s="452"/>
      <c r="AW27" s="168"/>
      <c r="AX27" s="168"/>
      <c r="AY27" s="168"/>
      <c r="BM27" s="182">
        <f>IF(ISERROR(VLOOKUP(#REF!,$BR$2:$BU$15,4,FALSE)),0,VLOOKUP(#REF!,$BR$2:$BU$15,4,FALSE))</f>
        <v>0</v>
      </c>
    </row>
    <row r="28" spans="1:75" ht="18" customHeight="1">
      <c r="A28" s="439">
        <f t="shared" si="2"/>
        <v>42719</v>
      </c>
      <c r="B28" s="440"/>
      <c r="C28" s="441">
        <f t="shared" si="0"/>
        <v>5</v>
      </c>
      <c r="D28" s="441"/>
      <c r="E28" s="441"/>
      <c r="F28" s="442" t="str">
        <f>IF(勤務表!K27="","",勤務表!K27)</f>
        <v/>
      </c>
      <c r="G28" s="419"/>
      <c r="H28" s="419"/>
      <c r="I28" s="420"/>
      <c r="J28" s="442" t="str">
        <f>IF(勤務表!O27="","",勤務表!O27)</f>
        <v/>
      </c>
      <c r="K28" s="419"/>
      <c r="L28" s="419"/>
      <c r="M28" s="420"/>
      <c r="N28" s="442">
        <f t="shared" si="1"/>
        <v>0</v>
      </c>
      <c r="O28" s="443"/>
      <c r="P28" s="444"/>
      <c r="Q28" s="445">
        <f>IF(祝日!A48=1,TIME(0,$AT$9 * 60,0),"")</f>
        <v>0.33333333333333331</v>
      </c>
      <c r="R28" s="446"/>
      <c r="S28" s="447"/>
      <c r="T28" s="442">
        <f>IF(F28="",IF(J28="",IF(Q28="","",祝日!J48-N28),祝日!J48-N28),祝日!J48-N28)</f>
        <v>0</v>
      </c>
      <c r="U28" s="443"/>
      <c r="V28" s="444"/>
      <c r="W28" s="448"/>
      <c r="X28" s="449"/>
      <c r="Y28" s="449"/>
      <c r="Z28" s="449"/>
      <c r="AA28" s="449"/>
      <c r="AB28" s="449"/>
      <c r="AC28" s="449"/>
      <c r="AD28" s="449"/>
      <c r="AE28" s="449"/>
      <c r="AF28" s="449"/>
      <c r="AG28" s="449"/>
      <c r="AH28" s="449"/>
      <c r="AI28" s="450"/>
      <c r="AJ28" s="168"/>
      <c r="AK28" s="1" t="s">
        <v>26</v>
      </c>
      <c r="AL28" s="1" t="s">
        <v>26</v>
      </c>
      <c r="AQ28" s="452"/>
      <c r="AR28" s="452"/>
      <c r="AS28" s="452"/>
      <c r="AT28" s="452"/>
      <c r="AU28" s="452"/>
      <c r="AV28" s="452"/>
      <c r="AW28" s="168"/>
      <c r="AX28" s="168"/>
      <c r="AY28" s="168"/>
      <c r="BM28" s="182">
        <f>IF(ISERROR(VLOOKUP(#REF!,$BR$2:$BU$15,4,FALSE)),0,VLOOKUP(#REF!,$BR$2:$BU$15,4,FALSE))</f>
        <v>0</v>
      </c>
    </row>
    <row r="29" spans="1:75" ht="18" customHeight="1">
      <c r="A29" s="439">
        <f t="shared" si="2"/>
        <v>42720</v>
      </c>
      <c r="B29" s="440"/>
      <c r="C29" s="441">
        <f t="shared" si="0"/>
        <v>6</v>
      </c>
      <c r="D29" s="441"/>
      <c r="E29" s="441"/>
      <c r="F29" s="442" t="str">
        <f>IF(勤務表!K28="","",勤務表!K28)</f>
        <v/>
      </c>
      <c r="G29" s="419"/>
      <c r="H29" s="419"/>
      <c r="I29" s="420"/>
      <c r="J29" s="442" t="str">
        <f>IF(勤務表!O28="","",勤務表!O28)</f>
        <v/>
      </c>
      <c r="K29" s="419"/>
      <c r="L29" s="419"/>
      <c r="M29" s="420"/>
      <c r="N29" s="442">
        <f t="shared" si="1"/>
        <v>0</v>
      </c>
      <c r="O29" s="443"/>
      <c r="P29" s="444"/>
      <c r="Q29" s="445">
        <f>IF(祝日!A49=1,TIME(0,$AT$9 * 60,0),"")</f>
        <v>0.33333333333333331</v>
      </c>
      <c r="R29" s="446"/>
      <c r="S29" s="447"/>
      <c r="T29" s="442">
        <f>IF(F29="",IF(J29="",IF(Q29="","",祝日!J49-N29),祝日!J49-N29),祝日!J49-N29)</f>
        <v>0</v>
      </c>
      <c r="U29" s="443"/>
      <c r="V29" s="444"/>
      <c r="W29" s="448"/>
      <c r="X29" s="449"/>
      <c r="Y29" s="449"/>
      <c r="Z29" s="449"/>
      <c r="AA29" s="449"/>
      <c r="AB29" s="449"/>
      <c r="AC29" s="449"/>
      <c r="AD29" s="449"/>
      <c r="AE29" s="449"/>
      <c r="AF29" s="449"/>
      <c r="AG29" s="449"/>
      <c r="AH29" s="449"/>
      <c r="AI29" s="450"/>
      <c r="AJ29" s="168"/>
      <c r="AK29" s="1" t="s">
        <v>26</v>
      </c>
      <c r="AL29" s="1" t="s">
        <v>26</v>
      </c>
      <c r="AQ29" s="452"/>
      <c r="AR29" s="452"/>
      <c r="AS29" s="452"/>
      <c r="AT29" s="452"/>
      <c r="AU29" s="452"/>
      <c r="AV29" s="452"/>
      <c r="AW29" s="168"/>
      <c r="AX29" s="168"/>
      <c r="AY29" s="168"/>
      <c r="BM29" s="182">
        <f>IF(ISERROR(VLOOKUP(#REF!,$BR$2:$BU$15,4,FALSE)),0,VLOOKUP(#REF!,$BR$2:$BU$15,4,FALSE))</f>
        <v>0</v>
      </c>
    </row>
    <row r="30" spans="1:75" ht="18" customHeight="1">
      <c r="A30" s="439">
        <f t="shared" si="2"/>
        <v>42721</v>
      </c>
      <c r="B30" s="440"/>
      <c r="C30" s="441">
        <f t="shared" si="0"/>
        <v>7</v>
      </c>
      <c r="D30" s="441"/>
      <c r="E30" s="441"/>
      <c r="F30" s="442" t="str">
        <f>IF(勤務表!K29="","",勤務表!K29)</f>
        <v/>
      </c>
      <c r="G30" s="419"/>
      <c r="H30" s="419"/>
      <c r="I30" s="420"/>
      <c r="J30" s="442" t="str">
        <f>IF(勤務表!O29="","",勤務表!O29)</f>
        <v/>
      </c>
      <c r="K30" s="419"/>
      <c r="L30" s="419"/>
      <c r="M30" s="420"/>
      <c r="N30" s="442">
        <f t="shared" si="1"/>
        <v>0</v>
      </c>
      <c r="O30" s="443"/>
      <c r="P30" s="444"/>
      <c r="Q30" s="445" t="str">
        <f>IF(祝日!A50=1,TIME(0,$AT$9 * 60,0),"")</f>
        <v/>
      </c>
      <c r="R30" s="446"/>
      <c r="S30" s="447"/>
      <c r="T30" s="442" t="str">
        <f>IF(F30="",IF(J30="",IF(Q30="","",祝日!J50-N30),祝日!J50-N30),祝日!J50-N30)</f>
        <v/>
      </c>
      <c r="U30" s="443"/>
      <c r="V30" s="444"/>
      <c r="W30" s="448"/>
      <c r="X30" s="449"/>
      <c r="Y30" s="449"/>
      <c r="Z30" s="449"/>
      <c r="AA30" s="449"/>
      <c r="AB30" s="449"/>
      <c r="AC30" s="449"/>
      <c r="AD30" s="449"/>
      <c r="AE30" s="449"/>
      <c r="AF30" s="449"/>
      <c r="AG30" s="449"/>
      <c r="AH30" s="449"/>
      <c r="AI30" s="450"/>
      <c r="AJ30" s="168"/>
      <c r="AK30" s="1" t="s">
        <v>26</v>
      </c>
      <c r="AL30" s="1" t="s">
        <v>26</v>
      </c>
      <c r="AQ30" s="452"/>
      <c r="AR30" s="452"/>
      <c r="AS30" s="452"/>
      <c r="AT30" s="452"/>
      <c r="AU30" s="452"/>
      <c r="AV30" s="452"/>
      <c r="AW30" s="168"/>
      <c r="AX30" s="168"/>
      <c r="AY30" s="168"/>
      <c r="BM30" s="182">
        <f>IF(ISERROR(VLOOKUP(#REF!,$BR$2:$BU$15,4,FALSE)),0,VLOOKUP(#REF!,$BR$2:$BU$15,4,FALSE))</f>
        <v>0</v>
      </c>
    </row>
    <row r="31" spans="1:75" ht="18" customHeight="1">
      <c r="A31" s="439">
        <f t="shared" si="2"/>
        <v>42722</v>
      </c>
      <c r="B31" s="440"/>
      <c r="C31" s="441">
        <f t="shared" si="0"/>
        <v>1</v>
      </c>
      <c r="D31" s="441"/>
      <c r="E31" s="441"/>
      <c r="F31" s="442" t="str">
        <f>IF(勤務表!K30="","",勤務表!K30)</f>
        <v/>
      </c>
      <c r="G31" s="419"/>
      <c r="H31" s="419"/>
      <c r="I31" s="420"/>
      <c r="J31" s="442" t="str">
        <f>IF(勤務表!O30="","",勤務表!O30)</f>
        <v/>
      </c>
      <c r="K31" s="419"/>
      <c r="L31" s="419"/>
      <c r="M31" s="420"/>
      <c r="N31" s="442">
        <f t="shared" si="1"/>
        <v>0</v>
      </c>
      <c r="O31" s="443"/>
      <c r="P31" s="444"/>
      <c r="Q31" s="445" t="str">
        <f>IF(祝日!A51=1,TIME(0,$AT$9 * 60,0),"")</f>
        <v/>
      </c>
      <c r="R31" s="446"/>
      <c r="S31" s="447"/>
      <c r="T31" s="442" t="str">
        <f>IF(F31="",IF(J31="",IF(Q31="","",祝日!J51-N31),祝日!J51-N31),祝日!J51-N31)</f>
        <v/>
      </c>
      <c r="U31" s="443"/>
      <c r="V31" s="444"/>
      <c r="W31" s="448"/>
      <c r="X31" s="449"/>
      <c r="Y31" s="449"/>
      <c r="Z31" s="449"/>
      <c r="AA31" s="449"/>
      <c r="AB31" s="449"/>
      <c r="AC31" s="449"/>
      <c r="AD31" s="449"/>
      <c r="AE31" s="449"/>
      <c r="AF31" s="449"/>
      <c r="AG31" s="449"/>
      <c r="AH31" s="449"/>
      <c r="AI31" s="450"/>
      <c r="AJ31" s="168"/>
      <c r="AK31" s="1" t="s">
        <v>26</v>
      </c>
      <c r="AL31" s="1" t="s">
        <v>26</v>
      </c>
      <c r="AQ31" s="452"/>
      <c r="AR31" s="452"/>
      <c r="AS31" s="452"/>
      <c r="AT31" s="452"/>
      <c r="AU31" s="452"/>
      <c r="AV31" s="452"/>
      <c r="AW31" s="168"/>
      <c r="AX31" s="168"/>
      <c r="AY31" s="168"/>
      <c r="BM31" s="182">
        <f>IF(ISERROR(VLOOKUP(#REF!,$BR$2:$BU$15,4,FALSE)),0,VLOOKUP(#REF!,$BR$2:$BU$15,4,FALSE))</f>
        <v>0</v>
      </c>
    </row>
    <row r="32" spans="1:75" ht="18" customHeight="1">
      <c r="A32" s="439">
        <f t="shared" si="2"/>
        <v>42723</v>
      </c>
      <c r="B32" s="440"/>
      <c r="C32" s="441">
        <f t="shared" si="0"/>
        <v>2</v>
      </c>
      <c r="D32" s="441"/>
      <c r="E32" s="441"/>
      <c r="F32" s="442" t="str">
        <f>IF(勤務表!K31="","",勤務表!K31)</f>
        <v/>
      </c>
      <c r="G32" s="419"/>
      <c r="H32" s="419"/>
      <c r="I32" s="420"/>
      <c r="J32" s="442" t="str">
        <f>IF(勤務表!O31="","",勤務表!O31)</f>
        <v/>
      </c>
      <c r="K32" s="419"/>
      <c r="L32" s="419"/>
      <c r="M32" s="420"/>
      <c r="N32" s="442">
        <f t="shared" si="1"/>
        <v>0</v>
      </c>
      <c r="O32" s="443"/>
      <c r="P32" s="444"/>
      <c r="Q32" s="445">
        <f>IF(祝日!A52=1,TIME(0,$AT$9 * 60,0),"")</f>
        <v>0.33333333333333331</v>
      </c>
      <c r="R32" s="446"/>
      <c r="S32" s="447"/>
      <c r="T32" s="442">
        <f>IF(F32="",IF(J32="",IF(Q32="","",祝日!J52-N32),祝日!J52-N32),祝日!J52-N32)</f>
        <v>0</v>
      </c>
      <c r="U32" s="443"/>
      <c r="V32" s="444"/>
      <c r="W32" s="448"/>
      <c r="X32" s="449"/>
      <c r="Y32" s="449"/>
      <c r="Z32" s="449"/>
      <c r="AA32" s="449"/>
      <c r="AB32" s="449"/>
      <c r="AC32" s="449"/>
      <c r="AD32" s="449"/>
      <c r="AE32" s="449"/>
      <c r="AF32" s="449"/>
      <c r="AG32" s="449"/>
      <c r="AH32" s="449"/>
      <c r="AI32" s="450"/>
      <c r="AJ32" s="168"/>
      <c r="AK32" s="1" t="s">
        <v>26</v>
      </c>
      <c r="AL32" s="1" t="s">
        <v>26</v>
      </c>
      <c r="AQ32" s="452"/>
      <c r="AR32" s="452"/>
      <c r="AS32" s="452"/>
      <c r="AT32" s="452"/>
      <c r="AU32" s="452"/>
      <c r="AV32" s="452"/>
      <c r="AW32" s="168"/>
      <c r="AX32" s="168"/>
      <c r="AY32" s="168"/>
      <c r="BM32" s="182">
        <f>IF(ISERROR(VLOOKUP(#REF!,$BR$2:$BU$15,4,FALSE)),0,VLOOKUP(#REF!,$BR$2:$BU$15,4,FALSE))</f>
        <v>0</v>
      </c>
    </row>
    <row r="33" spans="1:65" ht="18" customHeight="1">
      <c r="A33" s="439">
        <f t="shared" si="2"/>
        <v>42724</v>
      </c>
      <c r="B33" s="440"/>
      <c r="C33" s="441">
        <f t="shared" si="0"/>
        <v>3</v>
      </c>
      <c r="D33" s="441"/>
      <c r="E33" s="441"/>
      <c r="F33" s="442">
        <f>IF(勤務表!K32="","",勤務表!K32)</f>
        <v>0.41666666666666669</v>
      </c>
      <c r="G33" s="419"/>
      <c r="H33" s="419"/>
      <c r="I33" s="420"/>
      <c r="J33" s="442">
        <f>IF(勤務表!O32="","",勤務表!O32)</f>
        <v>0.77083333333333337</v>
      </c>
      <c r="K33" s="419"/>
      <c r="L33" s="419"/>
      <c r="M33" s="420"/>
      <c r="N33" s="442">
        <f t="shared" si="1"/>
        <v>3.125E-2</v>
      </c>
      <c r="O33" s="443"/>
      <c r="P33" s="444"/>
      <c r="Q33" s="445">
        <f>IF(祝日!A53=1,TIME(0,$AT$9 * 60,0),"")</f>
        <v>0.33333333333333331</v>
      </c>
      <c r="R33" s="446"/>
      <c r="S33" s="447"/>
      <c r="T33" s="442">
        <f>IF(F33="",IF(J33="",IF(Q33="","",祝日!J53-N33),祝日!J53-N33),祝日!J53-N33)</f>
        <v>0.32291666666666669</v>
      </c>
      <c r="U33" s="443"/>
      <c r="V33" s="444"/>
      <c r="W33" s="448"/>
      <c r="X33" s="449"/>
      <c r="Y33" s="449"/>
      <c r="Z33" s="449"/>
      <c r="AA33" s="449"/>
      <c r="AB33" s="449"/>
      <c r="AC33" s="449"/>
      <c r="AD33" s="449"/>
      <c r="AE33" s="449"/>
      <c r="AF33" s="449"/>
      <c r="AG33" s="449"/>
      <c r="AH33" s="449"/>
      <c r="AI33" s="450"/>
      <c r="AJ33" s="168"/>
      <c r="AK33" s="1" t="s">
        <v>26</v>
      </c>
      <c r="AL33" s="1" t="s">
        <v>26</v>
      </c>
      <c r="AQ33" s="452"/>
      <c r="AR33" s="452"/>
      <c r="AS33" s="452"/>
      <c r="AT33" s="452"/>
      <c r="AU33" s="452"/>
      <c r="AV33" s="452"/>
      <c r="AW33" s="168"/>
      <c r="AX33" s="168"/>
      <c r="AY33" s="168"/>
      <c r="BM33" s="182">
        <f>IF(ISERROR(VLOOKUP(#REF!,$BR$2:$BU$15,4,FALSE)),0,VLOOKUP(#REF!,$BR$2:$BU$15,4,FALSE))</f>
        <v>0</v>
      </c>
    </row>
    <row r="34" spans="1:65" ht="18" customHeight="1">
      <c r="A34" s="439">
        <f t="shared" si="2"/>
        <v>42725</v>
      </c>
      <c r="B34" s="440"/>
      <c r="C34" s="441">
        <f t="shared" si="0"/>
        <v>4</v>
      </c>
      <c r="D34" s="441"/>
      <c r="E34" s="441"/>
      <c r="F34" s="442">
        <f>IF(勤務表!K33="","",勤務表!K33)</f>
        <v>0.375</v>
      </c>
      <c r="G34" s="419"/>
      <c r="H34" s="419"/>
      <c r="I34" s="420"/>
      <c r="J34" s="442">
        <f>IF(勤務表!O33="","",勤務表!O33)</f>
        <v>0.77083333333333337</v>
      </c>
      <c r="K34" s="419"/>
      <c r="L34" s="419"/>
      <c r="M34" s="420"/>
      <c r="N34" s="442">
        <f t="shared" si="1"/>
        <v>3.125E-2</v>
      </c>
      <c r="O34" s="443"/>
      <c r="P34" s="444"/>
      <c r="Q34" s="445">
        <f>IF(祝日!A54=1,TIME(0,$AT$9 * 60,0),"")</f>
        <v>0.33333333333333331</v>
      </c>
      <c r="R34" s="446"/>
      <c r="S34" s="447"/>
      <c r="T34" s="442">
        <f>IF(F34="",IF(J34="",IF(Q34="","",祝日!J54-N34),祝日!J54-N34),祝日!J54-N34)</f>
        <v>0.36458333333333337</v>
      </c>
      <c r="U34" s="443"/>
      <c r="V34" s="444"/>
      <c r="W34" s="448"/>
      <c r="X34" s="449"/>
      <c r="Y34" s="449"/>
      <c r="Z34" s="449"/>
      <c r="AA34" s="449"/>
      <c r="AB34" s="449"/>
      <c r="AC34" s="449"/>
      <c r="AD34" s="449"/>
      <c r="AE34" s="449"/>
      <c r="AF34" s="449"/>
      <c r="AG34" s="449"/>
      <c r="AH34" s="449"/>
      <c r="AI34" s="450"/>
      <c r="AJ34" s="168"/>
      <c r="AK34" s="1" t="s">
        <v>26</v>
      </c>
      <c r="AL34" s="1" t="s">
        <v>26</v>
      </c>
      <c r="AQ34" s="452"/>
      <c r="AR34" s="452"/>
      <c r="AS34" s="452"/>
      <c r="AT34" s="452"/>
      <c r="AU34" s="452"/>
      <c r="AV34" s="452"/>
      <c r="AW34" s="168"/>
      <c r="AX34" s="168"/>
      <c r="AY34" s="168"/>
      <c r="BM34" s="182">
        <f>IF(ISERROR(VLOOKUP(#REF!,$BR$2:$BU$15,4,FALSE)),0,VLOOKUP(#REF!,$BR$2:$BU$15,4,FALSE))</f>
        <v>0</v>
      </c>
    </row>
    <row r="35" spans="1:65" ht="18" customHeight="1">
      <c r="A35" s="439">
        <f t="shared" si="2"/>
        <v>42726</v>
      </c>
      <c r="B35" s="440"/>
      <c r="C35" s="441">
        <f t="shared" si="0"/>
        <v>5</v>
      </c>
      <c r="D35" s="441"/>
      <c r="E35" s="441"/>
      <c r="F35" s="442">
        <f>IF(勤務表!K34="","",勤務表!K34)</f>
        <v>0.375</v>
      </c>
      <c r="G35" s="419"/>
      <c r="H35" s="419"/>
      <c r="I35" s="420"/>
      <c r="J35" s="442">
        <f>IF(勤務表!O34="","",勤務表!O34)</f>
        <v>0.79166666666666663</v>
      </c>
      <c r="K35" s="419"/>
      <c r="L35" s="419"/>
      <c r="M35" s="420"/>
      <c r="N35" s="442">
        <f t="shared" si="1"/>
        <v>3.125E-2</v>
      </c>
      <c r="O35" s="443"/>
      <c r="P35" s="444"/>
      <c r="Q35" s="445">
        <f>IF(祝日!A55=1,TIME(0,$AT$9 * 60,0),"")</f>
        <v>0.33333333333333331</v>
      </c>
      <c r="R35" s="446"/>
      <c r="S35" s="447"/>
      <c r="T35" s="442">
        <f>IF(F35="",IF(J35="",IF(Q35="","",祝日!J55-N35),祝日!J55-N35),祝日!J55-N35)</f>
        <v>0.38541666666666663</v>
      </c>
      <c r="U35" s="443"/>
      <c r="V35" s="444"/>
      <c r="W35" s="448"/>
      <c r="X35" s="449"/>
      <c r="Y35" s="449"/>
      <c r="Z35" s="449"/>
      <c r="AA35" s="449"/>
      <c r="AB35" s="449"/>
      <c r="AC35" s="449"/>
      <c r="AD35" s="449"/>
      <c r="AE35" s="449"/>
      <c r="AF35" s="449"/>
      <c r="AG35" s="449"/>
      <c r="AH35" s="449"/>
      <c r="AI35" s="450"/>
      <c r="AJ35" s="168"/>
      <c r="AK35" s="1" t="s">
        <v>26</v>
      </c>
      <c r="AL35" s="1" t="s">
        <v>26</v>
      </c>
      <c r="AQ35" s="452"/>
      <c r="AR35" s="452"/>
      <c r="AS35" s="452"/>
      <c r="AT35" s="452"/>
      <c r="AU35" s="452"/>
      <c r="AV35" s="452"/>
      <c r="AW35" s="168"/>
      <c r="AX35" s="168"/>
      <c r="AY35" s="168"/>
      <c r="BM35" s="182">
        <f>IF(ISERROR(VLOOKUP(#REF!,$BR$2:$BU$15,4,FALSE)),0,VLOOKUP(#REF!,$BR$2:$BU$15,4,FALSE))</f>
        <v>0</v>
      </c>
    </row>
    <row r="36" spans="1:65" ht="18" customHeight="1">
      <c r="A36" s="439">
        <f t="shared" si="2"/>
        <v>42727</v>
      </c>
      <c r="B36" s="440"/>
      <c r="C36" s="441">
        <f t="shared" si="0"/>
        <v>6</v>
      </c>
      <c r="D36" s="441"/>
      <c r="E36" s="441"/>
      <c r="F36" s="442" t="str">
        <f>IF(勤務表!K35="","",勤務表!K35)</f>
        <v/>
      </c>
      <c r="G36" s="419"/>
      <c r="H36" s="419"/>
      <c r="I36" s="420"/>
      <c r="J36" s="442" t="str">
        <f>IF(勤務表!O35="","",勤務表!O35)</f>
        <v/>
      </c>
      <c r="K36" s="419"/>
      <c r="L36" s="419"/>
      <c r="M36" s="420"/>
      <c r="N36" s="442">
        <f t="shared" si="1"/>
        <v>0</v>
      </c>
      <c r="O36" s="443"/>
      <c r="P36" s="444"/>
      <c r="Q36" s="445" t="str">
        <f>IF(祝日!A56=1,TIME(0,$AT$9 * 60,0),"")</f>
        <v/>
      </c>
      <c r="R36" s="446"/>
      <c r="S36" s="447"/>
      <c r="T36" s="442" t="str">
        <f>IF(F36="",IF(J36="",IF(Q36="","",祝日!J56-N36),祝日!J56-N36),祝日!J56-N36)</f>
        <v/>
      </c>
      <c r="U36" s="443"/>
      <c r="V36" s="444"/>
      <c r="W36" s="448"/>
      <c r="X36" s="449"/>
      <c r="Y36" s="449"/>
      <c r="Z36" s="449"/>
      <c r="AA36" s="449"/>
      <c r="AB36" s="449"/>
      <c r="AC36" s="449"/>
      <c r="AD36" s="449"/>
      <c r="AE36" s="449"/>
      <c r="AF36" s="449"/>
      <c r="AG36" s="449"/>
      <c r="AH36" s="449"/>
      <c r="AI36" s="450"/>
      <c r="AJ36" s="168"/>
      <c r="AK36" s="1" t="s">
        <v>26</v>
      </c>
      <c r="AL36" s="1" t="s">
        <v>26</v>
      </c>
      <c r="AQ36" s="452"/>
      <c r="AR36" s="452"/>
      <c r="AS36" s="452"/>
      <c r="AT36" s="452"/>
      <c r="AU36" s="452"/>
      <c r="AV36" s="452"/>
      <c r="AW36" s="168"/>
      <c r="AX36" s="168"/>
      <c r="AY36" s="168"/>
      <c r="BM36" s="182">
        <f>IF(ISERROR(VLOOKUP(#REF!,$BR$2:$BU$15,4,FALSE)),0,VLOOKUP(#REF!,$BR$2:$BU$15,4,FALSE))</f>
        <v>0</v>
      </c>
    </row>
    <row r="37" spans="1:65" ht="18" customHeight="1">
      <c r="A37" s="439">
        <f t="shared" si="2"/>
        <v>42728</v>
      </c>
      <c r="B37" s="440"/>
      <c r="C37" s="441">
        <f t="shared" si="0"/>
        <v>7</v>
      </c>
      <c r="D37" s="441"/>
      <c r="E37" s="441"/>
      <c r="F37" s="442" t="str">
        <f>IF(勤務表!K36="","",勤務表!K36)</f>
        <v/>
      </c>
      <c r="G37" s="419"/>
      <c r="H37" s="419"/>
      <c r="I37" s="420"/>
      <c r="J37" s="442" t="str">
        <f>IF(勤務表!O36="","",勤務表!O36)</f>
        <v/>
      </c>
      <c r="K37" s="419"/>
      <c r="L37" s="419"/>
      <c r="M37" s="420"/>
      <c r="N37" s="442">
        <f t="shared" si="1"/>
        <v>0</v>
      </c>
      <c r="O37" s="443"/>
      <c r="P37" s="444"/>
      <c r="Q37" s="445" t="str">
        <f>IF(祝日!A57=1,TIME(0,$AT$9 * 60,0),"")</f>
        <v/>
      </c>
      <c r="R37" s="446"/>
      <c r="S37" s="447"/>
      <c r="T37" s="442" t="str">
        <f>IF(F37="",IF(J37="",IF(Q37="","",祝日!J57-N37),祝日!J57-N37),祝日!J57-N37)</f>
        <v/>
      </c>
      <c r="U37" s="443"/>
      <c r="V37" s="444"/>
      <c r="W37" s="448"/>
      <c r="X37" s="449"/>
      <c r="Y37" s="449"/>
      <c r="Z37" s="449"/>
      <c r="AA37" s="449"/>
      <c r="AB37" s="449"/>
      <c r="AC37" s="449"/>
      <c r="AD37" s="449"/>
      <c r="AE37" s="449"/>
      <c r="AF37" s="449"/>
      <c r="AG37" s="449"/>
      <c r="AH37" s="449"/>
      <c r="AI37" s="450"/>
      <c r="AJ37" s="168"/>
      <c r="AK37" s="1" t="s">
        <v>26</v>
      </c>
      <c r="AL37" s="1" t="s">
        <v>26</v>
      </c>
      <c r="AQ37" s="452"/>
      <c r="AR37" s="452"/>
      <c r="AS37" s="452"/>
      <c r="AT37" s="452"/>
      <c r="AU37" s="452"/>
      <c r="AV37" s="452"/>
      <c r="AW37" s="168"/>
      <c r="AX37" s="168"/>
      <c r="AY37" s="168"/>
      <c r="BM37" s="182">
        <f>IF(ISERROR(VLOOKUP(#REF!,$BR$2:$BU$15,4,FALSE)),0,VLOOKUP(#REF!,$BR$2:$BU$15,4,FALSE))</f>
        <v>0</v>
      </c>
    </row>
    <row r="38" spans="1:65" ht="18" customHeight="1">
      <c r="A38" s="439">
        <f t="shared" si="2"/>
        <v>42729</v>
      </c>
      <c r="B38" s="440"/>
      <c r="C38" s="441">
        <f t="shared" si="0"/>
        <v>1</v>
      </c>
      <c r="D38" s="441"/>
      <c r="E38" s="441"/>
      <c r="F38" s="442" t="str">
        <f>IF(勤務表!K37="","",勤務表!K37)</f>
        <v/>
      </c>
      <c r="G38" s="419"/>
      <c r="H38" s="419"/>
      <c r="I38" s="420"/>
      <c r="J38" s="442" t="str">
        <f>IF(勤務表!O37="","",勤務表!O37)</f>
        <v/>
      </c>
      <c r="K38" s="419"/>
      <c r="L38" s="419"/>
      <c r="M38" s="420"/>
      <c r="N38" s="442">
        <f t="shared" si="1"/>
        <v>0</v>
      </c>
      <c r="O38" s="443"/>
      <c r="P38" s="444"/>
      <c r="Q38" s="445" t="str">
        <f>IF(祝日!A58=1,TIME(0,$AT$9 * 60,0),"")</f>
        <v/>
      </c>
      <c r="R38" s="446"/>
      <c r="S38" s="447"/>
      <c r="T38" s="442" t="str">
        <f>IF(F38="",IF(J38="",IF(Q38="","",祝日!J58-N38),祝日!J58-N38),祝日!J58-N38)</f>
        <v/>
      </c>
      <c r="U38" s="443"/>
      <c r="V38" s="444"/>
      <c r="W38" s="448"/>
      <c r="X38" s="449"/>
      <c r="Y38" s="449"/>
      <c r="Z38" s="449"/>
      <c r="AA38" s="449"/>
      <c r="AB38" s="449"/>
      <c r="AC38" s="449"/>
      <c r="AD38" s="449"/>
      <c r="AE38" s="449"/>
      <c r="AF38" s="449"/>
      <c r="AG38" s="449"/>
      <c r="AH38" s="449"/>
      <c r="AI38" s="450"/>
      <c r="AJ38" s="168"/>
      <c r="AK38" s="1" t="s">
        <v>26</v>
      </c>
      <c r="AL38" s="1" t="s">
        <v>26</v>
      </c>
      <c r="AQ38" s="452"/>
      <c r="AR38" s="452"/>
      <c r="AS38" s="452"/>
      <c r="AT38" s="452"/>
      <c r="AU38" s="452"/>
      <c r="AV38" s="452"/>
      <c r="AW38" s="168"/>
      <c r="AX38" s="168"/>
      <c r="AY38" s="168"/>
      <c r="BM38" s="182">
        <f>IF(ISERROR(VLOOKUP(#REF!,$BR$2:$BU$15,4,FALSE)),0,VLOOKUP(#REF!,$BR$2:$BU$15,4,FALSE))</f>
        <v>0</v>
      </c>
    </row>
    <row r="39" spans="1:65" ht="18" customHeight="1">
      <c r="A39" s="439">
        <f t="shared" si="2"/>
        <v>42730</v>
      </c>
      <c r="B39" s="440"/>
      <c r="C39" s="441">
        <f t="shared" si="0"/>
        <v>2</v>
      </c>
      <c r="D39" s="441"/>
      <c r="E39" s="441"/>
      <c r="F39" s="442">
        <f>IF(勤務表!K38="","",勤務表!K38)</f>
        <v>0.375</v>
      </c>
      <c r="G39" s="419"/>
      <c r="H39" s="419"/>
      <c r="I39" s="420"/>
      <c r="J39" s="442">
        <f>IF(勤務表!O38="","",勤務表!O38)</f>
        <v>0.77083333333333337</v>
      </c>
      <c r="K39" s="419"/>
      <c r="L39" s="419"/>
      <c r="M39" s="420"/>
      <c r="N39" s="442">
        <f t="shared" si="1"/>
        <v>3.125E-2</v>
      </c>
      <c r="O39" s="443"/>
      <c r="P39" s="444"/>
      <c r="Q39" s="445">
        <f>IF(祝日!A59=1,TIME(0,$AT$9 * 60,0),"")</f>
        <v>0.33333333333333331</v>
      </c>
      <c r="R39" s="446"/>
      <c r="S39" s="447"/>
      <c r="T39" s="442">
        <f>IF(F39="",IF(J39="",IF(Q39="","",祝日!J59-N39),祝日!J59-N39),祝日!J59-N39)</f>
        <v>0.36458333333333337</v>
      </c>
      <c r="U39" s="443"/>
      <c r="V39" s="444"/>
      <c r="W39" s="448"/>
      <c r="X39" s="449"/>
      <c r="Y39" s="449"/>
      <c r="Z39" s="449"/>
      <c r="AA39" s="449"/>
      <c r="AB39" s="449"/>
      <c r="AC39" s="449"/>
      <c r="AD39" s="449"/>
      <c r="AE39" s="449"/>
      <c r="AF39" s="449"/>
      <c r="AG39" s="449"/>
      <c r="AH39" s="449"/>
      <c r="AI39" s="450"/>
      <c r="AJ39" s="168"/>
      <c r="AK39" s="1" t="s">
        <v>26</v>
      </c>
      <c r="AL39" s="1" t="s">
        <v>26</v>
      </c>
      <c r="AQ39" s="452"/>
      <c r="AR39" s="452"/>
      <c r="AS39" s="452"/>
      <c r="AT39" s="452"/>
      <c r="AU39" s="452"/>
      <c r="AV39" s="452"/>
      <c r="AW39" s="168"/>
      <c r="AX39" s="168"/>
      <c r="AY39" s="168"/>
      <c r="BM39" s="182">
        <f>IF(ISERROR(VLOOKUP(#REF!,$BR$2:$BU$15,4,FALSE)),0,VLOOKUP(#REF!,$BR$2:$BU$15,4,FALSE))</f>
        <v>0</v>
      </c>
    </row>
    <row r="40" spans="1:65" ht="18" customHeight="1">
      <c r="A40" s="439">
        <f t="shared" si="2"/>
        <v>42731</v>
      </c>
      <c r="B40" s="440"/>
      <c r="C40" s="441">
        <f t="shared" si="0"/>
        <v>3</v>
      </c>
      <c r="D40" s="441"/>
      <c r="E40" s="441"/>
      <c r="F40" s="442">
        <f>IF(勤務表!K39="","",勤務表!K39)</f>
        <v>0.375</v>
      </c>
      <c r="G40" s="419"/>
      <c r="H40" s="419"/>
      <c r="I40" s="420"/>
      <c r="J40" s="442">
        <f>IF(勤務表!O39="","",勤務表!O39)</f>
        <v>0.85416666666666663</v>
      </c>
      <c r="K40" s="419"/>
      <c r="L40" s="419"/>
      <c r="M40" s="420"/>
      <c r="N40" s="442">
        <f t="shared" si="1"/>
        <v>3.125E-2</v>
      </c>
      <c r="O40" s="443"/>
      <c r="P40" s="444"/>
      <c r="Q40" s="445">
        <f>IF(祝日!A60=1,TIME(0,$AT$9 * 60,0),"")</f>
        <v>0.33333333333333331</v>
      </c>
      <c r="R40" s="446"/>
      <c r="S40" s="447"/>
      <c r="T40" s="442">
        <f>IF(F40="",IF(J40="",IF(Q40="","",祝日!J60-N40),祝日!J60-N40),祝日!J60-N40)</f>
        <v>0.44791666666666663</v>
      </c>
      <c r="U40" s="443"/>
      <c r="V40" s="444"/>
      <c r="W40" s="448"/>
      <c r="X40" s="449"/>
      <c r="Y40" s="449"/>
      <c r="Z40" s="449"/>
      <c r="AA40" s="449"/>
      <c r="AB40" s="449"/>
      <c r="AC40" s="449"/>
      <c r="AD40" s="449"/>
      <c r="AE40" s="449"/>
      <c r="AF40" s="449"/>
      <c r="AG40" s="449"/>
      <c r="AH40" s="449"/>
      <c r="AI40" s="450"/>
      <c r="AJ40" s="168"/>
      <c r="AK40" s="1" t="s">
        <v>26</v>
      </c>
      <c r="AL40" s="1" t="s">
        <v>26</v>
      </c>
      <c r="AQ40" s="452"/>
      <c r="AR40" s="452"/>
      <c r="AS40" s="452"/>
      <c r="AT40" s="452"/>
      <c r="AU40" s="452"/>
      <c r="AV40" s="452"/>
      <c r="AW40" s="168"/>
      <c r="AX40" s="168"/>
      <c r="AY40" s="168"/>
      <c r="BM40" s="182">
        <f>IF(ISERROR(VLOOKUP(#REF!,$BR$2:$BU$15,4,FALSE)),0,VLOOKUP(#REF!,$BR$2:$BU$15,4,FALSE))</f>
        <v>0</v>
      </c>
    </row>
    <row r="41" spans="1:65" ht="18" customHeight="1">
      <c r="A41" s="439">
        <f t="shared" si="2"/>
        <v>42732</v>
      </c>
      <c r="B41" s="440"/>
      <c r="C41" s="441">
        <f t="shared" si="0"/>
        <v>4</v>
      </c>
      <c r="D41" s="441"/>
      <c r="E41" s="441"/>
      <c r="F41" s="442">
        <f>IF(勤務表!K40="","",勤務表!K40)</f>
        <v>0.39583333333333331</v>
      </c>
      <c r="G41" s="419"/>
      <c r="H41" s="419"/>
      <c r="I41" s="420"/>
      <c r="J41" s="442">
        <f>IF(勤務表!O40="","",勤務表!O40)</f>
        <v>0.79166666666666663</v>
      </c>
      <c r="K41" s="419"/>
      <c r="L41" s="419"/>
      <c r="M41" s="420"/>
      <c r="N41" s="442">
        <f t="shared" si="1"/>
        <v>3.125E-2</v>
      </c>
      <c r="O41" s="443"/>
      <c r="P41" s="444"/>
      <c r="Q41" s="445">
        <f>IF(祝日!A61=1,TIME(0,$AT$9 * 60,0),"")</f>
        <v>0.33333333333333331</v>
      </c>
      <c r="R41" s="446"/>
      <c r="S41" s="447"/>
      <c r="T41" s="442">
        <f>IF(F41="",IF(J41="",IF(Q41="","",祝日!J61-N41),祝日!J61-N41),祝日!J61-N41)</f>
        <v>0.36458333333333331</v>
      </c>
      <c r="U41" s="443"/>
      <c r="V41" s="444"/>
      <c r="W41" s="448"/>
      <c r="X41" s="449"/>
      <c r="Y41" s="449"/>
      <c r="Z41" s="449"/>
      <c r="AA41" s="449"/>
      <c r="AB41" s="449"/>
      <c r="AC41" s="449"/>
      <c r="AD41" s="449"/>
      <c r="AE41" s="449"/>
      <c r="AF41" s="449"/>
      <c r="AG41" s="449"/>
      <c r="AH41" s="449"/>
      <c r="AI41" s="450"/>
      <c r="AJ41" s="168"/>
      <c r="AK41" s="1" t="s">
        <v>26</v>
      </c>
      <c r="AL41" s="1" t="s">
        <v>26</v>
      </c>
      <c r="AQ41" s="452"/>
      <c r="AR41" s="452"/>
      <c r="AS41" s="452"/>
      <c r="AT41" s="452"/>
      <c r="AU41" s="452"/>
      <c r="AV41" s="452"/>
      <c r="AW41" s="168"/>
      <c r="AX41" s="168"/>
      <c r="AY41" s="168"/>
      <c r="BM41" s="182">
        <f>IF(ISERROR(VLOOKUP(#REF!,$BR$2:$BU$15,4,FALSE)),0,VLOOKUP(#REF!,$BR$2:$BU$15,4,FALSE))</f>
        <v>0</v>
      </c>
    </row>
    <row r="42" spans="1:65" ht="18" customHeight="1">
      <c r="A42" s="439">
        <f t="shared" si="2"/>
        <v>42733</v>
      </c>
      <c r="B42" s="440"/>
      <c r="C42" s="441">
        <f>IF(A42="","",WEEKDAY(A42))</f>
        <v>5</v>
      </c>
      <c r="D42" s="441"/>
      <c r="E42" s="441"/>
      <c r="F42" s="442">
        <f>IF(勤務表!K41="","",勤務表!K41)</f>
        <v>0.38541666666666669</v>
      </c>
      <c r="G42" s="419"/>
      <c r="H42" s="419"/>
      <c r="I42" s="420"/>
      <c r="J42" s="442">
        <f>IF(勤務表!O41="","",勤務表!O41)</f>
        <v>0.625</v>
      </c>
      <c r="K42" s="419"/>
      <c r="L42" s="419"/>
      <c r="M42" s="420"/>
      <c r="N42" s="442">
        <f t="shared" si="1"/>
        <v>3.125E-2</v>
      </c>
      <c r="O42" s="443"/>
      <c r="P42" s="444"/>
      <c r="Q42" s="445">
        <f>IF(祝日!A62=1,TIME(0,$AT$9 * 60,0),"")</f>
        <v>0.33333333333333331</v>
      </c>
      <c r="R42" s="446"/>
      <c r="S42" s="447"/>
      <c r="T42" s="442">
        <f>IF(F42="",IF(J42="",IF(Q42="","",祝日!J62-N42),祝日!J62-N42),祝日!J62-N42)</f>
        <v>0.2048611111111111</v>
      </c>
      <c r="U42" s="443"/>
      <c r="V42" s="444"/>
      <c r="W42" s="448"/>
      <c r="X42" s="449"/>
      <c r="Y42" s="449"/>
      <c r="Z42" s="449"/>
      <c r="AA42" s="449"/>
      <c r="AB42" s="449"/>
      <c r="AC42" s="449"/>
      <c r="AD42" s="449"/>
      <c r="AE42" s="449"/>
      <c r="AF42" s="449"/>
      <c r="AG42" s="449"/>
      <c r="AH42" s="449"/>
      <c r="AI42" s="450"/>
      <c r="AJ42" s="168"/>
      <c r="AK42" s="1" t="s">
        <v>26</v>
      </c>
      <c r="AL42" s="1" t="s">
        <v>26</v>
      </c>
      <c r="AQ42" s="452"/>
      <c r="AR42" s="452"/>
      <c r="AS42" s="452"/>
      <c r="AT42" s="452"/>
      <c r="AU42" s="452"/>
      <c r="AV42" s="452"/>
      <c r="AW42" s="168"/>
      <c r="AX42" s="168"/>
      <c r="AY42" s="168"/>
      <c r="BM42" s="182">
        <f>IF(ISERROR(VLOOKUP(#REF!,$BR$2:$BU$15,4,FALSE)),0,VLOOKUP(#REF!,$BR$2:$BU$15,4,FALSE))</f>
        <v>0</v>
      </c>
    </row>
    <row r="43" spans="1:65" ht="18" customHeight="1">
      <c r="A43" s="439">
        <f t="shared" si="2"/>
        <v>42734</v>
      </c>
      <c r="B43" s="440"/>
      <c r="C43" s="441">
        <f>IF(A43="","",WEEKDAY(A43))</f>
        <v>6</v>
      </c>
      <c r="D43" s="441"/>
      <c r="E43" s="441"/>
      <c r="F43" s="442" t="str">
        <f>IF(勤務表!K42="","",勤務表!K42)</f>
        <v/>
      </c>
      <c r="G43" s="419"/>
      <c r="H43" s="419"/>
      <c r="I43" s="420"/>
      <c r="J43" s="442" t="str">
        <f>IF(勤務表!O42="","",勤務表!O42)</f>
        <v/>
      </c>
      <c r="K43" s="419"/>
      <c r="L43" s="419"/>
      <c r="M43" s="420"/>
      <c r="N43" s="442">
        <f t="shared" si="1"/>
        <v>0</v>
      </c>
      <c r="O43" s="443"/>
      <c r="P43" s="444"/>
      <c r="Q43" s="445">
        <f>IF(祝日!A63=1,TIME(0,$AT$9 * 60,0),"")</f>
        <v>0.33333333333333331</v>
      </c>
      <c r="R43" s="446"/>
      <c r="S43" s="447"/>
      <c r="T43" s="442">
        <f>IF(F43="",IF(J43="",IF(Q43="","",祝日!J63-N43),祝日!J63-N43),祝日!J63-N43)</f>
        <v>0</v>
      </c>
      <c r="U43" s="443"/>
      <c r="V43" s="444"/>
      <c r="W43" s="448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50"/>
      <c r="AJ43" s="168"/>
      <c r="AK43" s="1" t="s">
        <v>26</v>
      </c>
      <c r="AL43" s="1" t="s">
        <v>26</v>
      </c>
      <c r="AQ43" s="452"/>
      <c r="AR43" s="452"/>
      <c r="AS43" s="452"/>
      <c r="AT43" s="452"/>
      <c r="AU43" s="452"/>
      <c r="AV43" s="452"/>
      <c r="AW43" s="168"/>
      <c r="AX43" s="168"/>
      <c r="AY43" s="168"/>
      <c r="BM43" s="182">
        <f>IF(ISERROR(VLOOKUP(#REF!,$BR$2:$BU$15,4,FALSE)),0,VLOOKUP(#REF!,$BR$2:$BU$15,4,FALSE))</f>
        <v>0</v>
      </c>
    </row>
    <row r="44" spans="1:65" ht="18" customHeight="1">
      <c r="A44" s="439">
        <f t="shared" si="2"/>
        <v>42735</v>
      </c>
      <c r="B44" s="440"/>
      <c r="C44" s="441">
        <f>IF(A44="","",WEEKDAY(A44))</f>
        <v>7</v>
      </c>
      <c r="D44" s="441"/>
      <c r="E44" s="441"/>
      <c r="F44" s="442" t="str">
        <f>IF(勤務表!K43="","",勤務表!K43)</f>
        <v/>
      </c>
      <c r="G44" s="419"/>
      <c r="H44" s="419"/>
      <c r="I44" s="420"/>
      <c r="J44" s="442" t="str">
        <f>IF(勤務表!O43="","",勤務表!O43)</f>
        <v/>
      </c>
      <c r="K44" s="419"/>
      <c r="L44" s="419"/>
      <c r="M44" s="420"/>
      <c r="N44" s="442">
        <f t="shared" si="1"/>
        <v>0</v>
      </c>
      <c r="O44" s="443"/>
      <c r="P44" s="444"/>
      <c r="Q44" s="445" t="str">
        <f>IF(祝日!A64=1,TIME(0,$AT$9 * 60,0),"")</f>
        <v/>
      </c>
      <c r="R44" s="446"/>
      <c r="S44" s="447"/>
      <c r="T44" s="442" t="str">
        <f>IF(F44="",IF(J44="",IF(Q44="","",祝日!J64-N44),祝日!J64-N44),祝日!J64-N44)</f>
        <v/>
      </c>
      <c r="U44" s="443"/>
      <c r="V44" s="444"/>
      <c r="W44" s="448"/>
      <c r="X44" s="449"/>
      <c r="Y44" s="449"/>
      <c r="Z44" s="449"/>
      <c r="AA44" s="449"/>
      <c r="AB44" s="449"/>
      <c r="AC44" s="449"/>
      <c r="AD44" s="449"/>
      <c r="AE44" s="449"/>
      <c r="AF44" s="449"/>
      <c r="AG44" s="449"/>
      <c r="AH44" s="449"/>
      <c r="AI44" s="450"/>
      <c r="AJ44" s="168"/>
      <c r="AK44" s="1" t="s">
        <v>26</v>
      </c>
      <c r="AL44" s="1" t="s">
        <v>26</v>
      </c>
      <c r="AQ44" s="452"/>
      <c r="AR44" s="452"/>
      <c r="AS44" s="452"/>
      <c r="AT44" s="452"/>
      <c r="AU44" s="452"/>
      <c r="AV44" s="452"/>
      <c r="AW44" s="168"/>
      <c r="AX44" s="168"/>
      <c r="AY44" s="168"/>
      <c r="BM44" s="182">
        <f>IF(ISERROR(VLOOKUP(#REF!,$BR$2:$BU$15,4,FALSE)),0,VLOOKUP(#REF!,$BR$2:$BU$15,4,FALSE))</f>
        <v>0</v>
      </c>
    </row>
    <row r="45" spans="1:65" ht="18" customHeight="1">
      <c r="AJ45" s="168"/>
      <c r="AK45" s="25" t="s">
        <v>26</v>
      </c>
      <c r="AL45" s="25"/>
      <c r="AQ45" s="452"/>
      <c r="AR45" s="452"/>
      <c r="AS45" s="452"/>
      <c r="AT45" s="452"/>
      <c r="AU45" s="452"/>
      <c r="AV45" s="452"/>
      <c r="AW45" s="168"/>
      <c r="AX45" s="168"/>
      <c r="AY45" s="168"/>
      <c r="BM45" s="182">
        <f>IF(ISERROR(VLOOKUP(#REF!,$BR$2:$BU$15,4,FALSE)),0,VLOOKUP(#REF!,$BR$2:$BU$15,4,FALSE))</f>
        <v>0</v>
      </c>
    </row>
    <row r="46" spans="1:65" ht="18" customHeight="1">
      <c r="AI46" s="1"/>
      <c r="AJ46" s="168"/>
      <c r="AK46" s="25" t="s">
        <v>26</v>
      </c>
      <c r="AL46" s="25"/>
      <c r="AQ46" s="452"/>
      <c r="AR46" s="452"/>
      <c r="AS46" s="452"/>
      <c r="AT46" s="452"/>
      <c r="AU46" s="452"/>
      <c r="AV46" s="452"/>
      <c r="AW46" s="168"/>
      <c r="AX46" s="168"/>
      <c r="AY46" s="168"/>
      <c r="BM46" s="182">
        <f>IF(ISERROR(VLOOKUP(#REF!,$BR$2:$BU$15,4,FALSE)),0,VLOOKUP(#REF!,$BR$2:$BU$15,4,FALSE))</f>
        <v>0</v>
      </c>
    </row>
    <row r="47" spans="1:65" ht="15" customHeight="1">
      <c r="R47" s="457"/>
      <c r="S47" s="457"/>
      <c r="T47" s="457"/>
      <c r="AA47" s="457"/>
      <c r="AB47" s="457"/>
      <c r="AC47" s="457"/>
      <c r="AI47" s="1"/>
      <c r="AJ47" s="168"/>
      <c r="AQ47" s="452"/>
      <c r="AR47" s="452"/>
      <c r="AS47" s="452"/>
      <c r="AT47" s="452"/>
      <c r="AU47" s="452"/>
      <c r="AV47" s="452"/>
      <c r="AW47" s="168"/>
      <c r="AX47" s="168"/>
      <c r="AY47" s="168"/>
    </row>
    <row r="48" spans="1:65" ht="15" customHeight="1">
      <c r="R48" s="453"/>
      <c r="S48" s="454"/>
      <c r="T48" s="454"/>
      <c r="AA48" s="455"/>
      <c r="AB48" s="456"/>
      <c r="AC48" s="456"/>
      <c r="AI48" s="1"/>
      <c r="AQ48" s="452"/>
      <c r="AR48" s="452"/>
      <c r="AS48" s="452"/>
      <c r="AT48" s="452"/>
      <c r="AU48" s="452"/>
      <c r="AV48" s="452"/>
      <c r="AW48" s="168"/>
      <c r="AX48" s="168"/>
      <c r="AY48" s="168"/>
    </row>
    <row r="49" spans="39:51" ht="38.25" customHeight="1">
      <c r="AQ49" s="452"/>
      <c r="AR49" s="452"/>
      <c r="AS49" s="452"/>
      <c r="AT49" s="452"/>
      <c r="AU49" s="452"/>
      <c r="AV49" s="452"/>
      <c r="AW49" s="168"/>
      <c r="AX49" s="168"/>
      <c r="AY49" s="168"/>
    </row>
    <row r="50" spans="39:51" ht="14.25" customHeight="1">
      <c r="AM50" s="11"/>
      <c r="AQ50" s="452"/>
      <c r="AR50" s="452"/>
      <c r="AS50" s="452"/>
      <c r="AT50" s="452"/>
      <c r="AU50" s="452"/>
      <c r="AV50" s="452"/>
      <c r="AW50" s="168"/>
      <c r="AX50" s="168"/>
      <c r="AY50" s="168"/>
    </row>
    <row r="51" spans="39:51" ht="18" customHeight="1">
      <c r="AV51" s="168"/>
      <c r="AW51" s="168"/>
      <c r="AX51" s="168"/>
      <c r="AY51" s="168"/>
    </row>
    <row r="52" spans="39:51" ht="18" customHeight="1">
      <c r="AV52" s="168"/>
      <c r="AW52" s="168"/>
      <c r="AX52" s="168"/>
      <c r="AY52" s="168"/>
    </row>
    <row r="53" spans="39:51" ht="18" customHeight="1">
      <c r="AV53" s="168"/>
      <c r="AW53" s="168"/>
      <c r="AX53" s="168"/>
      <c r="AY53" s="168"/>
    </row>
  </sheetData>
  <sheetProtection password="C6B9" sheet="1" objects="1" scenarios="1" selectLockedCells="1"/>
  <mergeCells count="369">
    <mergeCell ref="AQ50:AS50"/>
    <mergeCell ref="AT50:AV50"/>
    <mergeCell ref="R48:T48"/>
    <mergeCell ref="AA48:AC48"/>
    <mergeCell ref="AQ48:AS48"/>
    <mergeCell ref="AT48:AV48"/>
    <mergeCell ref="AQ49:AS49"/>
    <mergeCell ref="AT49:AV49"/>
    <mergeCell ref="AT44:AV44"/>
    <mergeCell ref="AQ45:AS45"/>
    <mergeCell ref="AT45:AV45"/>
    <mergeCell ref="AQ46:AS46"/>
    <mergeCell ref="AT46:AV46"/>
    <mergeCell ref="R47:T47"/>
    <mergeCell ref="AA47:AC47"/>
    <mergeCell ref="AQ47:AS47"/>
    <mergeCell ref="AT47:AV47"/>
    <mergeCell ref="A44:B44"/>
    <mergeCell ref="C44:E44"/>
    <mergeCell ref="F44:I44"/>
    <mergeCell ref="J44:M44"/>
    <mergeCell ref="N44:P44"/>
    <mergeCell ref="Q44:S44"/>
    <mergeCell ref="T44:V44"/>
    <mergeCell ref="W44:AI44"/>
    <mergeCell ref="AQ44:AS44"/>
    <mergeCell ref="AT42:AV42"/>
    <mergeCell ref="A43:B43"/>
    <mergeCell ref="C43:E43"/>
    <mergeCell ref="F43:I43"/>
    <mergeCell ref="J43:M43"/>
    <mergeCell ref="N43:P43"/>
    <mergeCell ref="Q43:S43"/>
    <mergeCell ref="T43:V43"/>
    <mergeCell ref="W43:AI43"/>
    <mergeCell ref="AQ43:AS43"/>
    <mergeCell ref="AT43:AV43"/>
    <mergeCell ref="A42:B42"/>
    <mergeCell ref="C42:E42"/>
    <mergeCell ref="F42:I42"/>
    <mergeCell ref="J42:M42"/>
    <mergeCell ref="N42:P42"/>
    <mergeCell ref="Q42:S42"/>
    <mergeCell ref="T42:V42"/>
    <mergeCell ref="W42:AI42"/>
    <mergeCell ref="AQ42:AS42"/>
    <mergeCell ref="AT40:AV40"/>
    <mergeCell ref="A41:B41"/>
    <mergeCell ref="C41:E41"/>
    <mergeCell ref="F41:I41"/>
    <mergeCell ref="J41:M41"/>
    <mergeCell ref="N41:P41"/>
    <mergeCell ref="Q41:S41"/>
    <mergeCell ref="T41:V41"/>
    <mergeCell ref="W41:AI41"/>
    <mergeCell ref="AQ41:AS41"/>
    <mergeCell ref="AT41:AV41"/>
    <mergeCell ref="A40:B40"/>
    <mergeCell ref="C40:E40"/>
    <mergeCell ref="F40:I40"/>
    <mergeCell ref="J40:M40"/>
    <mergeCell ref="N40:P40"/>
    <mergeCell ref="Q40:S40"/>
    <mergeCell ref="T40:V40"/>
    <mergeCell ref="W40:AI40"/>
    <mergeCell ref="AQ40:AS40"/>
    <mergeCell ref="AT38:AV38"/>
    <mergeCell ref="A39:B39"/>
    <mergeCell ref="C39:E39"/>
    <mergeCell ref="F39:I39"/>
    <mergeCell ref="J39:M39"/>
    <mergeCell ref="N39:P39"/>
    <mergeCell ref="Q39:S39"/>
    <mergeCell ref="T39:V39"/>
    <mergeCell ref="W39:AI39"/>
    <mergeCell ref="AQ39:AS39"/>
    <mergeCell ref="AT39:AV39"/>
    <mergeCell ref="A38:B38"/>
    <mergeCell ref="C38:E38"/>
    <mergeCell ref="F38:I38"/>
    <mergeCell ref="J38:M38"/>
    <mergeCell ref="N38:P38"/>
    <mergeCell ref="Q38:S38"/>
    <mergeCell ref="T38:V38"/>
    <mergeCell ref="W38:AI38"/>
    <mergeCell ref="AQ38:AS38"/>
    <mergeCell ref="AT36:AV36"/>
    <mergeCell ref="A37:B37"/>
    <mergeCell ref="C37:E37"/>
    <mergeCell ref="F37:I37"/>
    <mergeCell ref="J37:M37"/>
    <mergeCell ref="N37:P37"/>
    <mergeCell ref="Q37:S37"/>
    <mergeCell ref="T37:V37"/>
    <mergeCell ref="W37:AI37"/>
    <mergeCell ref="AQ37:AS37"/>
    <mergeCell ref="AT37:AV37"/>
    <mergeCell ref="A36:B36"/>
    <mergeCell ref="C36:E36"/>
    <mergeCell ref="F36:I36"/>
    <mergeCell ref="J36:M36"/>
    <mergeCell ref="N36:P36"/>
    <mergeCell ref="Q36:S36"/>
    <mergeCell ref="T36:V36"/>
    <mergeCell ref="W36:AI36"/>
    <mergeCell ref="AQ36:AS36"/>
    <mergeCell ref="AT34:AV34"/>
    <mergeCell ref="A35:B35"/>
    <mergeCell ref="C35:E35"/>
    <mergeCell ref="F35:I35"/>
    <mergeCell ref="J35:M35"/>
    <mergeCell ref="N35:P35"/>
    <mergeCell ref="Q35:S35"/>
    <mergeCell ref="T35:V35"/>
    <mergeCell ref="W35:AI35"/>
    <mergeCell ref="AQ35:AS35"/>
    <mergeCell ref="AT35:AV35"/>
    <mergeCell ref="A34:B34"/>
    <mergeCell ref="C34:E34"/>
    <mergeCell ref="F34:I34"/>
    <mergeCell ref="J34:M34"/>
    <mergeCell ref="N34:P34"/>
    <mergeCell ref="Q34:S34"/>
    <mergeCell ref="T34:V34"/>
    <mergeCell ref="W34:AI34"/>
    <mergeCell ref="AQ34:AS34"/>
    <mergeCell ref="AT32:AV32"/>
    <mergeCell ref="A33:B33"/>
    <mergeCell ref="C33:E33"/>
    <mergeCell ref="F33:I33"/>
    <mergeCell ref="J33:M33"/>
    <mergeCell ref="N33:P33"/>
    <mergeCell ref="Q33:S33"/>
    <mergeCell ref="T33:V33"/>
    <mergeCell ref="W33:AI33"/>
    <mergeCell ref="AQ33:AS33"/>
    <mergeCell ref="AT33:AV33"/>
    <mergeCell ref="A32:B32"/>
    <mergeCell ref="C32:E32"/>
    <mergeCell ref="F32:I32"/>
    <mergeCell ref="J32:M32"/>
    <mergeCell ref="N32:P32"/>
    <mergeCell ref="Q32:S32"/>
    <mergeCell ref="T32:V32"/>
    <mergeCell ref="W32:AI32"/>
    <mergeCell ref="AQ32:AS32"/>
    <mergeCell ref="AT30:AV30"/>
    <mergeCell ref="A31:B31"/>
    <mergeCell ref="C31:E31"/>
    <mergeCell ref="F31:I31"/>
    <mergeCell ref="J31:M31"/>
    <mergeCell ref="N31:P31"/>
    <mergeCell ref="Q31:S31"/>
    <mergeCell ref="T31:V31"/>
    <mergeCell ref="W31:AI31"/>
    <mergeCell ref="AQ31:AS31"/>
    <mergeCell ref="AT31:AV31"/>
    <mergeCell ref="A30:B30"/>
    <mergeCell ref="C30:E30"/>
    <mergeCell ref="F30:I30"/>
    <mergeCell ref="J30:M30"/>
    <mergeCell ref="N30:P30"/>
    <mergeCell ref="Q30:S30"/>
    <mergeCell ref="T30:V30"/>
    <mergeCell ref="W30:AI30"/>
    <mergeCell ref="AQ30:AS30"/>
    <mergeCell ref="AT28:AV28"/>
    <mergeCell ref="A29:B29"/>
    <mergeCell ref="C29:E29"/>
    <mergeCell ref="F29:I29"/>
    <mergeCell ref="J29:M29"/>
    <mergeCell ref="N29:P29"/>
    <mergeCell ref="Q29:S29"/>
    <mergeCell ref="T29:V29"/>
    <mergeCell ref="W29:AI29"/>
    <mergeCell ref="AQ29:AS29"/>
    <mergeCell ref="AT29:AV29"/>
    <mergeCell ref="A28:B28"/>
    <mergeCell ref="C28:E28"/>
    <mergeCell ref="F28:I28"/>
    <mergeCell ref="J28:M28"/>
    <mergeCell ref="N28:P28"/>
    <mergeCell ref="Q28:S28"/>
    <mergeCell ref="T28:V28"/>
    <mergeCell ref="W28:AI28"/>
    <mergeCell ref="AQ28:AS28"/>
    <mergeCell ref="AT26:AV26"/>
    <mergeCell ref="A27:B27"/>
    <mergeCell ref="C27:E27"/>
    <mergeCell ref="F27:I27"/>
    <mergeCell ref="J27:M27"/>
    <mergeCell ref="N27:P27"/>
    <mergeCell ref="Q27:S27"/>
    <mergeCell ref="T27:V27"/>
    <mergeCell ref="W27:AI27"/>
    <mergeCell ref="AQ27:AS27"/>
    <mergeCell ref="AT27:AV27"/>
    <mergeCell ref="A26:B26"/>
    <mergeCell ref="C26:E26"/>
    <mergeCell ref="F26:I26"/>
    <mergeCell ref="J26:M26"/>
    <mergeCell ref="N26:P26"/>
    <mergeCell ref="Q26:S26"/>
    <mergeCell ref="T26:V26"/>
    <mergeCell ref="W26:AI26"/>
    <mergeCell ref="AQ26:AS26"/>
    <mergeCell ref="AT24:AV24"/>
    <mergeCell ref="A25:B25"/>
    <mergeCell ref="C25:E25"/>
    <mergeCell ref="F25:I25"/>
    <mergeCell ref="J25:M25"/>
    <mergeCell ref="N25:P25"/>
    <mergeCell ref="Q25:S25"/>
    <mergeCell ref="T25:V25"/>
    <mergeCell ref="W25:AI25"/>
    <mergeCell ref="AQ25:AS25"/>
    <mergeCell ref="AT25:AV25"/>
    <mergeCell ref="A24:B24"/>
    <mergeCell ref="C24:E24"/>
    <mergeCell ref="F24:I24"/>
    <mergeCell ref="J24:M24"/>
    <mergeCell ref="N24:P24"/>
    <mergeCell ref="Q24:S24"/>
    <mergeCell ref="T24:V24"/>
    <mergeCell ref="W24:AI24"/>
    <mergeCell ref="AQ24:AS24"/>
    <mergeCell ref="AT22:BB22"/>
    <mergeCell ref="A23:B23"/>
    <mergeCell ref="C23:E23"/>
    <mergeCell ref="F23:I23"/>
    <mergeCell ref="J23:M23"/>
    <mergeCell ref="N23:P23"/>
    <mergeCell ref="Q23:S23"/>
    <mergeCell ref="T23:V23"/>
    <mergeCell ref="W23:AI23"/>
    <mergeCell ref="AN23:AS23"/>
    <mergeCell ref="AT23:BB23"/>
    <mergeCell ref="A22:B22"/>
    <mergeCell ref="C22:E22"/>
    <mergeCell ref="F22:I22"/>
    <mergeCell ref="J22:M22"/>
    <mergeCell ref="N22:P22"/>
    <mergeCell ref="Q22:S22"/>
    <mergeCell ref="T22:V22"/>
    <mergeCell ref="W22:AI22"/>
    <mergeCell ref="AN22:AS22"/>
    <mergeCell ref="AT20:BB20"/>
    <mergeCell ref="A21:B21"/>
    <mergeCell ref="C21:E21"/>
    <mergeCell ref="F21:I21"/>
    <mergeCell ref="J21:M21"/>
    <mergeCell ref="N21:P21"/>
    <mergeCell ref="Q21:S21"/>
    <mergeCell ref="T21:V21"/>
    <mergeCell ref="W21:AI21"/>
    <mergeCell ref="AN21:AS21"/>
    <mergeCell ref="AT21:BB21"/>
    <mergeCell ref="A20:B20"/>
    <mergeCell ref="C20:E20"/>
    <mergeCell ref="F20:I20"/>
    <mergeCell ref="J20:M20"/>
    <mergeCell ref="N20:P20"/>
    <mergeCell ref="Q20:S20"/>
    <mergeCell ref="T20:V20"/>
    <mergeCell ref="W20:AI20"/>
    <mergeCell ref="AN20:AS20"/>
    <mergeCell ref="AT18:AW18"/>
    <mergeCell ref="AY18:BB18"/>
    <mergeCell ref="A19:B19"/>
    <mergeCell ref="C19:E19"/>
    <mergeCell ref="F19:I19"/>
    <mergeCell ref="J19:M19"/>
    <mergeCell ref="N19:P19"/>
    <mergeCell ref="Q19:S19"/>
    <mergeCell ref="T19:V19"/>
    <mergeCell ref="W19:AI19"/>
    <mergeCell ref="AN19:AS19"/>
    <mergeCell ref="AT19:BB19"/>
    <mergeCell ref="A18:B18"/>
    <mergeCell ref="C18:E18"/>
    <mergeCell ref="F18:I18"/>
    <mergeCell ref="J18:M18"/>
    <mergeCell ref="N18:P18"/>
    <mergeCell ref="Q18:S18"/>
    <mergeCell ref="T18:V18"/>
    <mergeCell ref="W18:AI18"/>
    <mergeCell ref="AN18:AS18"/>
    <mergeCell ref="AT16:AW16"/>
    <mergeCell ref="AY16:BB16"/>
    <mergeCell ref="A17:B17"/>
    <mergeCell ref="C17:E17"/>
    <mergeCell ref="F17:I17"/>
    <mergeCell ref="J17:M17"/>
    <mergeCell ref="N17:P17"/>
    <mergeCell ref="Q17:S17"/>
    <mergeCell ref="T17:V17"/>
    <mergeCell ref="W17:AI17"/>
    <mergeCell ref="AN17:AS17"/>
    <mergeCell ref="AT17:AW17"/>
    <mergeCell ref="AY17:BB17"/>
    <mergeCell ref="A16:B16"/>
    <mergeCell ref="C16:E16"/>
    <mergeCell ref="F16:I16"/>
    <mergeCell ref="J16:M16"/>
    <mergeCell ref="N16:P16"/>
    <mergeCell ref="Q16:S16"/>
    <mergeCell ref="T16:V16"/>
    <mergeCell ref="W16:AI16"/>
    <mergeCell ref="AN16:AS16"/>
    <mergeCell ref="AT14:AW14"/>
    <mergeCell ref="AY14:BB14"/>
    <mergeCell ref="A15:B15"/>
    <mergeCell ref="C15:E15"/>
    <mergeCell ref="F15:I15"/>
    <mergeCell ref="J15:M15"/>
    <mergeCell ref="N15:P15"/>
    <mergeCell ref="Q15:S15"/>
    <mergeCell ref="T15:V15"/>
    <mergeCell ref="W15:AI15"/>
    <mergeCell ref="AN15:AS15"/>
    <mergeCell ref="AT15:AW15"/>
    <mergeCell ref="AY15:BB15"/>
    <mergeCell ref="A14:B14"/>
    <mergeCell ref="C14:E14"/>
    <mergeCell ref="F14:I14"/>
    <mergeCell ref="J14:M14"/>
    <mergeCell ref="N14:P14"/>
    <mergeCell ref="Q14:S14"/>
    <mergeCell ref="T14:V14"/>
    <mergeCell ref="W14:AI14"/>
    <mergeCell ref="AN14:AS14"/>
    <mergeCell ref="AW8:AX8"/>
    <mergeCell ref="AZ8:BA8"/>
    <mergeCell ref="AN9:AS10"/>
    <mergeCell ref="AT9:BB10"/>
    <mergeCell ref="A10:B13"/>
    <mergeCell ref="C10:E13"/>
    <mergeCell ref="F10:P10"/>
    <mergeCell ref="Q10:V10"/>
    <mergeCell ref="W10:AI13"/>
    <mergeCell ref="F11:I13"/>
    <mergeCell ref="J11:M13"/>
    <mergeCell ref="N11:P13"/>
    <mergeCell ref="Q11:S13"/>
    <mergeCell ref="T11:V13"/>
    <mergeCell ref="AN11:AS12"/>
    <mergeCell ref="AT11:AZ12"/>
    <mergeCell ref="BA11:BB12"/>
    <mergeCell ref="A7:H7"/>
    <mergeCell ref="I7:Q7"/>
    <mergeCell ref="R7:Z7"/>
    <mergeCell ref="AA7:AI7"/>
    <mergeCell ref="AN7:AS8"/>
    <mergeCell ref="B8:C8"/>
    <mergeCell ref="D8:E8"/>
    <mergeCell ref="F8:G8"/>
    <mergeCell ref="I8:Q8"/>
    <mergeCell ref="R8:Z8"/>
    <mergeCell ref="AA8:AE8"/>
    <mergeCell ref="AF8:AI8"/>
    <mergeCell ref="A1:AI1"/>
    <mergeCell ref="I3:J3"/>
    <mergeCell ref="AA3:AD3"/>
    <mergeCell ref="AF3:AG3"/>
    <mergeCell ref="AA4:AD4"/>
    <mergeCell ref="AE4:AI4"/>
    <mergeCell ref="AN4:AO4"/>
    <mergeCell ref="AN5:AS5"/>
    <mergeCell ref="AT5:BB5"/>
  </mergeCells>
  <phoneticPr fontId="8"/>
  <conditionalFormatting sqref="C14:E44">
    <cfRule type="expression" dxfId="42" priority="19" stopIfTrue="1">
      <formula>WEEKDAY(A14)=1</formula>
    </cfRule>
    <cfRule type="expression" dxfId="41" priority="20" stopIfTrue="1">
      <formula>WEEKDAY(A14)=7</formula>
    </cfRule>
    <cfRule type="expression" dxfId="40" priority="21" stopIfTrue="1">
      <formula>COUNTIF(HOLIDAY,A14)</formula>
    </cfRule>
  </conditionalFormatting>
  <conditionalFormatting sqref="AQ24:AS47">
    <cfRule type="expression" dxfId="39" priority="22" stopIfTrue="1">
      <formula>WEEKDAY(O17)=1</formula>
    </cfRule>
    <cfRule type="expression" dxfId="38" priority="23" stopIfTrue="1">
      <formula>WEEKDAY(O17)=7</formula>
    </cfRule>
  </conditionalFormatting>
  <conditionalFormatting sqref="A14:B15">
    <cfRule type="expression" dxfId="37" priority="16" stopIfTrue="1">
      <formula>WEEKDAY(A14)=1</formula>
    </cfRule>
    <cfRule type="expression" dxfId="36" priority="17" stopIfTrue="1">
      <formula>WEEKDAY(A14)=7</formula>
    </cfRule>
    <cfRule type="expression" dxfId="35" priority="18" stopIfTrue="1">
      <formula>COUNTIF(HOLIDAY,A14)</formula>
    </cfRule>
  </conditionalFormatting>
  <conditionalFormatting sqref="T14:U44">
    <cfRule type="expression" dxfId="34" priority="24" stopIfTrue="1">
      <formula>WEEKDAY(AR21)=1</formula>
    </cfRule>
    <cfRule type="expression" dxfId="33" priority="25" stopIfTrue="1">
      <formula>WEEKDAY(AR21)=7</formula>
    </cfRule>
    <cfRule type="expression" dxfId="32" priority="26" stopIfTrue="1">
      <formula>#REF!="祝祭日等"</formula>
    </cfRule>
  </conditionalFormatting>
  <conditionalFormatting sqref="AT24:AV47">
    <cfRule type="expression" dxfId="31" priority="27" stopIfTrue="1">
      <formula>WEEKDAY(R17)=1</formula>
    </cfRule>
    <cfRule type="expression" dxfId="30" priority="28" stopIfTrue="1">
      <formula>WEEKDAY(R17)=7</formula>
    </cfRule>
    <cfRule type="expression" dxfId="29" priority="29" stopIfTrue="1">
      <formula>#REF!="祝祭日等"</formula>
    </cfRule>
  </conditionalFormatting>
  <conditionalFormatting sqref="A16:B44">
    <cfRule type="expression" dxfId="28" priority="13" stopIfTrue="1">
      <formula>WEEKDAY(A16)=1</formula>
    </cfRule>
    <cfRule type="expression" dxfId="27" priority="14" stopIfTrue="1">
      <formula>WEEKDAY(A16)=7</formula>
    </cfRule>
    <cfRule type="expression" dxfId="26" priority="15" stopIfTrue="1">
      <formula>COUNTIF(HOLIDAY,A16)</formula>
    </cfRule>
  </conditionalFormatting>
  <conditionalFormatting sqref="V14:V44">
    <cfRule type="expression" dxfId="25" priority="30" stopIfTrue="1">
      <formula>WEEKDAY(AT21)=1</formula>
    </cfRule>
    <cfRule type="expression" dxfId="24" priority="31" stopIfTrue="1">
      <formula>WEEKDAY(AT21)=7</formula>
    </cfRule>
    <cfRule type="expression" dxfId="23" priority="32" stopIfTrue="1">
      <formula>BQ16="祝祭日等"</formula>
    </cfRule>
  </conditionalFormatting>
  <conditionalFormatting sqref="S14:S44">
    <cfRule type="expression" dxfId="22" priority="33" stopIfTrue="1">
      <formula>WEEKDAY(N14)=1</formula>
    </cfRule>
    <cfRule type="expression" dxfId="21" priority="34" stopIfTrue="1">
      <formula>WEEKDAY(N14)=7</formula>
    </cfRule>
    <cfRule type="expression" dxfId="20" priority="35" stopIfTrue="1">
      <formula>AM16="祝祭日等"</formula>
    </cfRule>
  </conditionalFormatting>
  <conditionalFormatting sqref="R14:R44">
    <cfRule type="expression" dxfId="19" priority="36" stopIfTrue="1">
      <formula>WEEKDAY(M14)=1</formula>
    </cfRule>
    <cfRule type="expression" dxfId="18" priority="37" stopIfTrue="1">
      <formula>WEEKDAY(M14)=7</formula>
    </cfRule>
    <cfRule type="expression" dxfId="17" priority="38" stopIfTrue="1">
      <formula>AK16="祝祭日等"</formula>
    </cfRule>
  </conditionalFormatting>
  <conditionalFormatting sqref="Q14:Q44">
    <cfRule type="expression" dxfId="16" priority="39" stopIfTrue="1">
      <formula>WEEKDAY(K14)=1</formula>
    </cfRule>
    <cfRule type="expression" dxfId="15" priority="40" stopIfTrue="1">
      <formula>WEEKDAY(K14)=7</formula>
    </cfRule>
    <cfRule type="expression" dxfId="14" priority="41" stopIfTrue="1">
      <formula>BM16="祝祭日等"</formula>
    </cfRule>
  </conditionalFormatting>
  <conditionalFormatting sqref="F14:F44 J14:J44">
    <cfRule type="expression" dxfId="13" priority="42" stopIfTrue="1">
      <formula>WEEKDAY(A14)=1</formula>
    </cfRule>
    <cfRule type="expression" dxfId="12" priority="43" stopIfTrue="1">
      <formula>WEEKDAY(A14)=7</formula>
    </cfRule>
    <cfRule type="expression" dxfId="11" priority="44" stopIfTrue="1">
      <formula>#REF!="祝祭日等"</formula>
    </cfRule>
  </conditionalFormatting>
  <conditionalFormatting sqref="N14:P44">
    <cfRule type="expression" dxfId="10" priority="48" stopIfTrue="1">
      <formula>WEEKDAY(G14)=1</formula>
    </cfRule>
    <cfRule type="expression" dxfId="9" priority="49" stopIfTrue="1">
      <formula>WEEKDAY(G14)=7</formula>
    </cfRule>
    <cfRule type="expression" dxfId="8" priority="50" stopIfTrue="1">
      <formula>AG14="祝祭日等"</formula>
    </cfRule>
  </conditionalFormatting>
  <conditionalFormatting sqref="AQ48:AS50">
    <cfRule type="expression" dxfId="7" priority="57" stopIfTrue="1">
      <formula>WEEKDAY(O42)=1</formula>
    </cfRule>
    <cfRule type="expression" dxfId="6" priority="58" stopIfTrue="1">
      <formula>WEEKDAY(O42)=7</formula>
    </cfRule>
  </conditionalFormatting>
  <conditionalFormatting sqref="AT48:AV49">
    <cfRule type="expression" dxfId="5" priority="65" stopIfTrue="1">
      <formula>WEEKDAY(R42)=1</formula>
    </cfRule>
    <cfRule type="expression" dxfId="4" priority="66" stopIfTrue="1">
      <formula>WEEKDAY(R42)=7</formula>
    </cfRule>
    <cfRule type="expression" dxfId="3" priority="67" stopIfTrue="1">
      <formula>#REF!="祝祭日等"</formula>
    </cfRule>
  </conditionalFormatting>
  <conditionalFormatting sqref="AT50:AV50">
    <cfRule type="expression" dxfId="2" priority="68" stopIfTrue="1">
      <formula>WEEKDAY(R44)=1</formula>
    </cfRule>
    <cfRule type="expression" dxfId="1" priority="69" stopIfTrue="1">
      <formula>WEEKDAY(R44)=7</formula>
    </cfRule>
    <cfRule type="expression" dxfId="0" priority="70" stopIfTrue="1">
      <formula>AQ51="祝祭日等"</formula>
    </cfRule>
  </conditionalFormatting>
  <dataValidations count="7">
    <dataValidation allowBlank="1" showInputMessage="1" showErrorMessage="1" promptTitle="入力規則" prompt="YYYY/MM/DD" sqref="S5"/>
    <dataValidation allowBlank="1" showInputMessage="1" showErrorMessage="1" promptTitle="承認日" prompt="YYYY/MM/DD" sqref="R48:T48 AA48:AC48"/>
    <dataValidation showInputMessage="1" showErrorMessage="1" sqref="AT5:BB5"/>
    <dataValidation allowBlank="1" showInputMessage="1" showErrorMessage="1" prompt="整数を入力ください。" sqref="AZ8:BA8"/>
    <dataValidation allowBlank="1" showInputMessage="1" showErrorMessage="1" prompt="整数を入力してください。" sqref="AW8:AX8"/>
    <dataValidation allowBlank="1" showInputMessage="1" showErrorMessage="1" prompt="記入不要" sqref="R8 A8:B8 D8 F8 AA8 H8:I8"/>
    <dataValidation imeMode="off" allowBlank="1" showInputMessage="1" showErrorMessage="1" sqref="G3 AI49:AI65536 S9 AI9 R47 AI45 J45:R45 I9 AA47 O49:R349 AA3 AQ21:AV50 AK4:AL8 BM4:BM8 F14:F44 J47:N349 N14:V44 J14:J44"/>
  </dataValidations>
  <printOptions horizontalCentered="1"/>
  <pageMargins left="0.6692913385826772" right="0.55118110236220474" top="0.59" bottom="0.78740157480314965" header="0.31496062992125984" footer="0.51181102362204722"/>
  <pageSetup paperSize="9" scale="80" firstPageNumber="4294963191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Option Button 1">
              <controlPr locked="0" defaultSize="0" autoFill="0" autoLine="0" autoPict="0">
                <anchor moveWithCells="1">
                  <from>
                    <xdr:col>45</xdr:col>
                    <xdr:colOff>9525</xdr:colOff>
                    <xdr:row>6</xdr:row>
                    <xdr:rowOff>9525</xdr:rowOff>
                  </from>
                  <to>
                    <xdr:col>53</xdr:col>
                    <xdr:colOff>161925</xdr:colOff>
                    <xdr:row>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Option Button 2">
              <controlPr locked="0" defaultSize="0" autoFill="0" autoLine="0" autoPict="0" altText="精算有">
                <anchor moveWithCells="1">
                  <from>
                    <xdr:col>45</xdr:col>
                    <xdr:colOff>9525</xdr:colOff>
                    <xdr:row>7</xdr:row>
                    <xdr:rowOff>38100</xdr:rowOff>
                  </from>
                  <to>
                    <xdr:col>47</xdr:col>
                    <xdr:colOff>190500</xdr:colOff>
                    <xdr:row>7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25</vt:i4>
      </vt:variant>
    </vt:vector>
  </HeadingPairs>
  <TitlesOfParts>
    <vt:vector size="29" baseType="lpstr">
      <vt:lpstr>祝日</vt:lpstr>
      <vt:lpstr>勤務表</vt:lpstr>
      <vt:lpstr>SetData</vt:lpstr>
      <vt:lpstr>勤務表_客先提出用</vt:lpstr>
      <vt:lpstr>ddd</vt:lpstr>
      <vt:lpstr>勤務表_客先提出用!HOLIDAY</vt:lpstr>
      <vt:lpstr>HOLIDAY</vt:lpstr>
      <vt:lpstr>勤務表_客先提出用!LIST</vt:lpstr>
      <vt:lpstr>LIST</vt:lpstr>
      <vt:lpstr>LIST1</vt:lpstr>
      <vt:lpstr>勤務表!Print_Area</vt:lpstr>
      <vt:lpstr>勤務表_客先提出用!Print_Area</vt:lpstr>
      <vt:lpstr>protect1</vt:lpstr>
      <vt:lpstr>勤務表_客先提出用!timeScale</vt:lpstr>
      <vt:lpstr>timeScale</vt:lpstr>
      <vt:lpstr>始業時間</vt:lpstr>
      <vt:lpstr>時間計算単位</vt:lpstr>
      <vt:lpstr>出勤</vt:lpstr>
      <vt:lpstr>出勤区分</vt:lpstr>
      <vt:lpstr>日間所定労働時間</vt:lpstr>
      <vt:lpstr>入力区</vt:lpstr>
      <vt:lpstr>勤務表_客先提出用!備考3</vt:lpstr>
      <vt:lpstr>備考3</vt:lpstr>
      <vt:lpstr>勤務表_客先提出用!部門</vt:lpstr>
      <vt:lpstr>部門</vt:lpstr>
      <vt:lpstr>勤務表_客先提出用!役職</vt:lpstr>
      <vt:lpstr>役職</vt:lpstr>
      <vt:lpstr>勤務表_客先提出用!労働時間</vt:lpstr>
      <vt:lpstr>労働時間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leadingwin</dc:creator>
  <cp:lastModifiedBy>wangshaoyu</cp:lastModifiedBy>
  <cp:revision/>
  <cp:lastPrinted>2016-11-30T04:42:31Z</cp:lastPrinted>
  <dcterms:created xsi:type="dcterms:W3CDTF">2013-10-11T02:31:52Z</dcterms:created>
  <dcterms:modified xsi:type="dcterms:W3CDTF">2016-12-29T00:33:01Z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2052-8.1.0.3479</vt:lpwstr>
  </property>
</Properties>
</file>