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ang/Desktop/my_NTU/113-2/Statistical Control and Optimization/"/>
    </mc:Choice>
  </mc:AlternateContent>
  <xr:revisionPtr revIDLastSave="0" documentId="13_ncr:1_{D0C757D7-4613-634D-81AC-1E66D5C3453B}" xr6:coauthVersionLast="47" xr6:coauthVersionMax="47" xr10:uidLastSave="{00000000-0000-0000-0000-000000000000}"/>
  <bookViews>
    <workbookView xWindow="0" yWindow="500" windowWidth="28800" windowHeight="16360" xr2:uid="{BBF20BB9-3731-844D-BEA6-1D906D4C8881}"/>
  </bookViews>
  <sheets>
    <sheet name="Q5-Expt Factorial" sheetId="1" r:id="rId1"/>
    <sheet name="Q6-7-T-test&amp;Model" sheetId="2" r:id="rId2"/>
    <sheet name="Q8-Plot&amp;Bartlett" sheetId="5" r:id="rId3"/>
    <sheet name="Q9-SN&amp;ANOVA" sheetId="6" r:id="rId4"/>
    <sheet name="Q10-11-Verify" sheetId="4" r:id="rId5"/>
    <sheet name="Q13-Expt CCD" sheetId="7" r:id="rId6"/>
    <sheet name="Q14-Regression" sheetId="11" r:id="rId7"/>
    <sheet name="Q15-Refined Model" sheetId="12" r:id="rId8"/>
    <sheet name="Q16-Plot" sheetId="13" r:id="rId9"/>
    <sheet name="Q17-SN Model" sheetId="14" r:id="rId10"/>
    <sheet name="Q18-Refined SN" sheetId="15" r:id="rId11"/>
    <sheet name="Q19-20-Verify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0" l="1"/>
  <c r="C12" i="10"/>
  <c r="C14" i="10"/>
  <c r="D14" i="10"/>
  <c r="E8" i="10"/>
  <c r="F8" i="10"/>
  <c r="E9" i="10"/>
  <c r="F9" i="10"/>
  <c r="E10" i="10"/>
  <c r="F10" i="10"/>
  <c r="E11" i="10"/>
  <c r="F11" i="10"/>
  <c r="E12" i="10"/>
  <c r="F12" i="10"/>
  <c r="E13" i="10"/>
  <c r="F13" i="10"/>
  <c r="E14" i="10"/>
  <c r="F14" i="10"/>
  <c r="I21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D12" i="4"/>
  <c r="D14" i="4"/>
  <c r="C14" i="4"/>
  <c r="C12" i="4"/>
  <c r="F5" i="6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4" i="13"/>
  <c r="D17" i="2"/>
  <c r="F27" i="2"/>
  <c r="S6" i="7"/>
  <c r="U6" i="7" s="1"/>
  <c r="Q6" i="7"/>
  <c r="S5" i="7"/>
  <c r="U5" i="7" s="1"/>
  <c r="Q5" i="7"/>
  <c r="S4" i="7"/>
  <c r="Q4" i="7" s="1"/>
  <c r="G6" i="7"/>
  <c r="F30" i="1"/>
  <c r="F8" i="2" s="1"/>
  <c r="F31" i="2" s="1"/>
  <c r="G22" i="5" s="1"/>
  <c r="F31" i="1"/>
  <c r="F9" i="2" s="1"/>
  <c r="F32" i="2" s="1"/>
  <c r="G23" i="5" s="1"/>
  <c r="I23" i="5" s="1"/>
  <c r="M20" i="6"/>
  <c r="H33" i="14"/>
  <c r="G33" i="14"/>
  <c r="F33" i="14"/>
  <c r="H32" i="14"/>
  <c r="G32" i="14"/>
  <c r="F32" i="14"/>
  <c r="H31" i="14"/>
  <c r="G31" i="14"/>
  <c r="F31" i="14"/>
  <c r="H30" i="14"/>
  <c r="G30" i="14"/>
  <c r="F30" i="14"/>
  <c r="H29" i="14"/>
  <c r="G29" i="14"/>
  <c r="F29" i="14"/>
  <c r="H28" i="14"/>
  <c r="G28" i="14"/>
  <c r="F28" i="14"/>
  <c r="H27" i="14"/>
  <c r="G27" i="14"/>
  <c r="F27" i="14"/>
  <c r="H26" i="14"/>
  <c r="G26" i="14"/>
  <c r="F26" i="14"/>
  <c r="H25" i="14"/>
  <c r="G25" i="14"/>
  <c r="F25" i="14"/>
  <c r="H24" i="14"/>
  <c r="G24" i="14"/>
  <c r="F24" i="14"/>
  <c r="H23" i="14"/>
  <c r="G23" i="14"/>
  <c r="F23" i="14"/>
  <c r="H22" i="14"/>
  <c r="G22" i="14"/>
  <c r="F22" i="14"/>
  <c r="H21" i="14"/>
  <c r="G21" i="14"/>
  <c r="F21" i="14"/>
  <c r="H20" i="14"/>
  <c r="G20" i="14"/>
  <c r="F20" i="14"/>
  <c r="H19" i="14"/>
  <c r="G19" i="14"/>
  <c r="F19" i="14"/>
  <c r="H18" i="14"/>
  <c r="G18" i="14"/>
  <c r="F18" i="14"/>
  <c r="H17" i="14"/>
  <c r="G17" i="14"/>
  <c r="F17" i="14"/>
  <c r="H16" i="14"/>
  <c r="G16" i="14"/>
  <c r="F16" i="14"/>
  <c r="H15" i="14"/>
  <c r="G15" i="14"/>
  <c r="F15" i="14"/>
  <c r="H14" i="14"/>
  <c r="G14" i="14"/>
  <c r="F14" i="14"/>
  <c r="H13" i="14"/>
  <c r="G13" i="14"/>
  <c r="F13" i="14"/>
  <c r="H12" i="14"/>
  <c r="G12" i="14"/>
  <c r="F12" i="14"/>
  <c r="H11" i="14"/>
  <c r="G11" i="14"/>
  <c r="F11" i="14"/>
  <c r="H10" i="14"/>
  <c r="G10" i="14"/>
  <c r="F10" i="14"/>
  <c r="H9" i="14"/>
  <c r="G9" i="14"/>
  <c r="F9" i="14"/>
  <c r="H8" i="14"/>
  <c r="G8" i="14"/>
  <c r="F8" i="14"/>
  <c r="H7" i="14"/>
  <c r="G7" i="14"/>
  <c r="F7" i="14"/>
  <c r="H6" i="14"/>
  <c r="G6" i="14"/>
  <c r="F6" i="14"/>
  <c r="H5" i="14"/>
  <c r="G5" i="14"/>
  <c r="F5" i="14"/>
  <c r="H4" i="14"/>
  <c r="G4" i="14"/>
  <c r="F4" i="14"/>
  <c r="I22" i="5" l="1"/>
  <c r="U4" i="7"/>
  <c r="G30" i="1"/>
  <c r="G28" i="1"/>
  <c r="F15" i="6" s="1"/>
  <c r="G31" i="1"/>
  <c r="F18" i="6" s="1"/>
  <c r="F17" i="6" l="1"/>
  <c r="G8" i="2"/>
  <c r="G6" i="2"/>
  <c r="F37" i="2" s="1"/>
  <c r="G28" i="5" s="1"/>
  <c r="G9" i="2"/>
  <c r="I9" i="2" s="1"/>
  <c r="L9" i="2" l="1"/>
  <c r="C9" i="5" s="1"/>
  <c r="F39" i="2"/>
  <c r="G30" i="5" s="1"/>
  <c r="L8" i="2"/>
  <c r="C8" i="5" s="1"/>
  <c r="I8" i="2"/>
  <c r="F40" i="2"/>
  <c r="G31" i="5" s="1"/>
  <c r="C28" i="13" l="1"/>
  <c r="C29" i="13"/>
  <c r="C30" i="13"/>
  <c r="C31" i="13"/>
  <c r="C32" i="13"/>
  <c r="C33" i="13"/>
  <c r="C27" i="13"/>
  <c r="C18" i="13"/>
  <c r="C13" i="13"/>
  <c r="C14" i="13"/>
  <c r="C15" i="13"/>
  <c r="C16" i="13"/>
  <c r="C17" i="13"/>
  <c r="C12" i="13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15" i="7"/>
  <c r="Q28" i="7"/>
  <c r="Q22" i="7"/>
  <c r="Q23" i="7"/>
  <c r="Q24" i="7"/>
  <c r="Q25" i="7"/>
  <c r="Q26" i="7"/>
  <c r="Q27" i="7"/>
  <c r="Q16" i="7"/>
  <c r="Q17" i="7"/>
  <c r="Q18" i="7"/>
  <c r="Q19" i="7"/>
  <c r="Q20" i="7"/>
  <c r="Q21" i="7"/>
  <c r="Q15" i="7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G4" i="11"/>
  <c r="H4" i="11"/>
  <c r="F4" i="11"/>
  <c r="E5" i="4"/>
  <c r="E4" i="4"/>
  <c r="E4" i="10"/>
  <c r="E5" i="10"/>
  <c r="L27" i="1"/>
  <c r="M27" i="1" s="1"/>
  <c r="L28" i="1"/>
  <c r="M28" i="1" s="1"/>
  <c r="L29" i="1"/>
  <c r="M29" i="1" s="1"/>
  <c r="L30" i="1"/>
  <c r="M30" i="1" s="1"/>
  <c r="L31" i="1"/>
  <c r="M31" i="1" s="1"/>
  <c r="L32" i="1"/>
  <c r="L33" i="1"/>
  <c r="M33" i="1" s="1"/>
  <c r="L26" i="1"/>
  <c r="M26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L25" i="1"/>
  <c r="M25" i="1" s="1"/>
  <c r="L18" i="1"/>
  <c r="M18" i="1" s="1"/>
  <c r="D18" i="5"/>
  <c r="H18" i="5" s="1"/>
  <c r="F38" i="7"/>
  <c r="M38" i="7" s="1"/>
  <c r="F34" i="7"/>
  <c r="M34" i="7" s="1"/>
  <c r="G33" i="7"/>
  <c r="M48" i="7" s="1"/>
  <c r="G32" i="7"/>
  <c r="M47" i="7" s="1"/>
  <c r="F32" i="7"/>
  <c r="M32" i="7" s="1"/>
  <c r="G34" i="7"/>
  <c r="M49" i="7" s="1"/>
  <c r="G35" i="7"/>
  <c r="M50" i="7" s="1"/>
  <c r="G36" i="7"/>
  <c r="M51" i="7" s="1"/>
  <c r="G37" i="7"/>
  <c r="M52" i="7" s="1"/>
  <c r="G38" i="7"/>
  <c r="M53" i="7" s="1"/>
  <c r="F33" i="7"/>
  <c r="M33" i="7" s="1"/>
  <c r="F35" i="7"/>
  <c r="M35" i="7" s="1"/>
  <c r="F36" i="7"/>
  <c r="M36" i="7" s="1"/>
  <c r="F37" i="7"/>
  <c r="M37" i="7" s="1"/>
  <c r="F5" i="7"/>
  <c r="F6" i="7"/>
  <c r="F7" i="7"/>
  <c r="F8" i="7"/>
  <c r="F9" i="7"/>
  <c r="F10" i="7"/>
  <c r="F11" i="7"/>
  <c r="F4" i="7"/>
  <c r="M19" i="6"/>
  <c r="M18" i="6"/>
  <c r="C27" i="2"/>
  <c r="F4" i="5"/>
  <c r="F3" i="5"/>
  <c r="D20" i="2"/>
  <c r="E20" i="2"/>
  <c r="F20" i="2"/>
  <c r="G20" i="2"/>
  <c r="H20" i="2"/>
  <c r="I20" i="2"/>
  <c r="C20" i="2"/>
  <c r="D19" i="2"/>
  <c r="E19" i="2"/>
  <c r="F19" i="2"/>
  <c r="G19" i="2"/>
  <c r="H19" i="2"/>
  <c r="I19" i="2"/>
  <c r="C19" i="2"/>
  <c r="G4" i="10" l="1"/>
  <c r="F4" i="10"/>
  <c r="F4" i="4"/>
  <c r="D11" i="4" s="1"/>
  <c r="G4" i="4"/>
  <c r="D13" i="4" s="1"/>
  <c r="I14" i="14"/>
  <c r="G14" i="13"/>
  <c r="I14" i="13" s="1"/>
  <c r="D14" i="12"/>
  <c r="I14" i="11"/>
  <c r="I32" i="14"/>
  <c r="D32" i="12"/>
  <c r="G32" i="13"/>
  <c r="I32" i="13" s="1"/>
  <c r="I32" i="11"/>
  <c r="D31" i="12"/>
  <c r="I31" i="14"/>
  <c r="G31" i="13"/>
  <c r="I31" i="13" s="1"/>
  <c r="I31" i="11"/>
  <c r="D29" i="12"/>
  <c r="I29" i="14"/>
  <c r="G29" i="13"/>
  <c r="I29" i="13" s="1"/>
  <c r="I29" i="11"/>
  <c r="I16" i="14"/>
  <c r="K16" i="14" s="1"/>
  <c r="K16" i="15"/>
  <c r="D16" i="12"/>
  <c r="G16" i="13"/>
  <c r="I16" i="13" s="1"/>
  <c r="I16" i="11"/>
  <c r="G33" i="13"/>
  <c r="I33" i="13" s="1"/>
  <c r="I33" i="11"/>
  <c r="D33" i="12"/>
  <c r="I33" i="14"/>
  <c r="I17" i="14"/>
  <c r="K17" i="14" s="1"/>
  <c r="G17" i="13"/>
  <c r="I17" i="13" s="1"/>
  <c r="I17" i="11"/>
  <c r="D17" i="12"/>
  <c r="I27" i="14"/>
  <c r="D27" i="12"/>
  <c r="G27" i="13"/>
  <c r="I27" i="13" s="1"/>
  <c r="I27" i="11"/>
  <c r="I18" i="14"/>
  <c r="K18" i="15"/>
  <c r="G18" i="13"/>
  <c r="I18" i="13" s="1"/>
  <c r="I18" i="11"/>
  <c r="D18" i="12"/>
  <c r="I30" i="14"/>
  <c r="K15" i="14" s="1"/>
  <c r="G30" i="13"/>
  <c r="I30" i="13" s="1"/>
  <c r="D30" i="12"/>
  <c r="I30" i="11"/>
  <c r="I12" i="14"/>
  <c r="G12" i="13"/>
  <c r="I12" i="13" s="1"/>
  <c r="I12" i="11"/>
  <c r="D12" i="12"/>
  <c r="I15" i="14"/>
  <c r="D15" i="12"/>
  <c r="G15" i="13"/>
  <c r="I15" i="13" s="1"/>
  <c r="I15" i="11"/>
  <c r="K13" i="15"/>
  <c r="I13" i="14"/>
  <c r="K13" i="14" s="1"/>
  <c r="D13" i="12"/>
  <c r="G13" i="13"/>
  <c r="I13" i="13" s="1"/>
  <c r="I13" i="11"/>
  <c r="I28" i="14"/>
  <c r="G28" i="13"/>
  <c r="I28" i="13" s="1"/>
  <c r="I28" i="11"/>
  <c r="D28" i="12"/>
  <c r="F10" i="5"/>
  <c r="F27" i="1"/>
  <c r="F6" i="6" s="1"/>
  <c r="G5" i="7"/>
  <c r="F25" i="7" s="1"/>
  <c r="M25" i="7" s="1"/>
  <c r="G7" i="7"/>
  <c r="F27" i="7" s="1"/>
  <c r="M27" i="7" s="1"/>
  <c r="H8" i="7"/>
  <c r="I7" i="7"/>
  <c r="I5" i="7"/>
  <c r="H5" i="7"/>
  <c r="G8" i="7"/>
  <c r="F28" i="7" s="1"/>
  <c r="M28" i="7" s="1"/>
  <c r="F29" i="1"/>
  <c r="F7" i="2" s="1"/>
  <c r="I10" i="7"/>
  <c r="H10" i="7"/>
  <c r="F28" i="1"/>
  <c r="F6" i="2" s="1"/>
  <c r="G4" i="7"/>
  <c r="F24" i="7" s="1"/>
  <c r="M24" i="7" s="1"/>
  <c r="G9" i="7"/>
  <c r="F29" i="7" s="1"/>
  <c r="M29" i="7" s="1"/>
  <c r="F26" i="1"/>
  <c r="H7" i="7"/>
  <c r="F32" i="1"/>
  <c r="F10" i="2" s="1"/>
  <c r="G29" i="1"/>
  <c r="F16" i="6" s="1"/>
  <c r="G10" i="7"/>
  <c r="F30" i="7" s="1"/>
  <c r="M30" i="7" s="1"/>
  <c r="H4" i="7"/>
  <c r="I4" i="7"/>
  <c r="I11" i="7"/>
  <c r="H11" i="7"/>
  <c r="G11" i="7"/>
  <c r="F31" i="7" s="1"/>
  <c r="M31" i="7" s="1"/>
  <c r="F33" i="1"/>
  <c r="F12" i="6" s="1"/>
  <c r="C26" i="13"/>
  <c r="C33" i="5"/>
  <c r="C11" i="13"/>
  <c r="C25" i="5"/>
  <c r="C9" i="13"/>
  <c r="C23" i="5"/>
  <c r="C23" i="13"/>
  <c r="C30" i="5"/>
  <c r="C29" i="5"/>
  <c r="C22" i="13"/>
  <c r="C20" i="5"/>
  <c r="C6" i="13"/>
  <c r="C19" i="5"/>
  <c r="C5" i="13"/>
  <c r="C27" i="5"/>
  <c r="C20" i="13"/>
  <c r="C24" i="13"/>
  <c r="C31" i="5"/>
  <c r="C8" i="13"/>
  <c r="C22" i="5"/>
  <c r="C7" i="13"/>
  <c r="C21" i="5"/>
  <c r="C28" i="5"/>
  <c r="C21" i="13"/>
  <c r="C18" i="5"/>
  <c r="C4" i="13"/>
  <c r="C26" i="5"/>
  <c r="C19" i="13"/>
  <c r="M32" i="1"/>
  <c r="M24" i="1"/>
  <c r="G33" i="1"/>
  <c r="F20" i="6" s="1"/>
  <c r="K14" i="14"/>
  <c r="K12" i="14"/>
  <c r="D17" i="4"/>
  <c r="C17" i="4"/>
  <c r="F26" i="7"/>
  <c r="M26" i="7" s="1"/>
  <c r="F10" i="6"/>
  <c r="H10" i="6" s="1"/>
  <c r="D33" i="6" s="1"/>
  <c r="F9" i="6"/>
  <c r="F5" i="5"/>
  <c r="F8" i="5" s="1"/>
  <c r="D17" i="10" l="1"/>
  <c r="D11" i="10"/>
  <c r="D13" i="10"/>
  <c r="C18" i="10" s="1"/>
  <c r="C17" i="10"/>
  <c r="D18" i="4"/>
  <c r="C18" i="4"/>
  <c r="K15" i="15"/>
  <c r="K17" i="15"/>
  <c r="K12" i="15"/>
  <c r="K18" i="14"/>
  <c r="K14" i="15"/>
  <c r="F5" i="2"/>
  <c r="F29" i="2"/>
  <c r="G20" i="5" s="1"/>
  <c r="I20" i="5" s="1"/>
  <c r="L6" i="2"/>
  <c r="C6" i="5" s="1"/>
  <c r="I6" i="2"/>
  <c r="F28" i="2"/>
  <c r="G19" i="5" s="1"/>
  <c r="I19" i="5" s="1"/>
  <c r="H9" i="6"/>
  <c r="D32" i="6" s="1"/>
  <c r="F33" i="2"/>
  <c r="G24" i="5" s="1"/>
  <c r="I24" i="5" s="1"/>
  <c r="F30" i="2"/>
  <c r="G21" i="5" s="1"/>
  <c r="I21" i="5" s="1"/>
  <c r="H12" i="6"/>
  <c r="D35" i="6" s="1"/>
  <c r="F7" i="6"/>
  <c r="G31" i="7"/>
  <c r="M46" i="7" s="1"/>
  <c r="G27" i="7"/>
  <c r="M42" i="7" s="1"/>
  <c r="I8" i="7"/>
  <c r="G28" i="7" s="1"/>
  <c r="M43" i="7" s="1"/>
  <c r="F11" i="6"/>
  <c r="G30" i="7"/>
  <c r="M45" i="7" s="1"/>
  <c r="G25" i="7"/>
  <c r="M40" i="7" s="1"/>
  <c r="G24" i="7"/>
  <c r="M39" i="7" s="1"/>
  <c r="F4" i="2"/>
  <c r="F8" i="6"/>
  <c r="H8" i="6" s="1"/>
  <c r="D31" i="6" s="1"/>
  <c r="G27" i="1"/>
  <c r="I4" i="14"/>
  <c r="I4" i="11"/>
  <c r="G4" i="13"/>
  <c r="I4" i="13" s="1"/>
  <c r="D4" i="12"/>
  <c r="H6" i="7"/>
  <c r="I6" i="7"/>
  <c r="G7" i="2"/>
  <c r="F38" i="2" s="1"/>
  <c r="G29" i="5" s="1"/>
  <c r="G32" i="1"/>
  <c r="G26" i="1"/>
  <c r="H9" i="7"/>
  <c r="I9" i="7"/>
  <c r="F11" i="2"/>
  <c r="C10" i="13"/>
  <c r="C24" i="5"/>
  <c r="C32" i="5"/>
  <c r="C25" i="13"/>
  <c r="G11" i="2"/>
  <c r="F42" i="2" s="1"/>
  <c r="G33" i="5" s="1"/>
  <c r="G6" i="13"/>
  <c r="I6" i="13" s="1"/>
  <c r="I6" i="11"/>
  <c r="I6" i="14"/>
  <c r="D6" i="12"/>
  <c r="I10" i="11"/>
  <c r="G10" i="13"/>
  <c r="I10" i="13" s="1"/>
  <c r="D10" i="12"/>
  <c r="I10" i="14"/>
  <c r="D7" i="12"/>
  <c r="G7" i="13"/>
  <c r="I7" i="13" s="1"/>
  <c r="I7" i="11"/>
  <c r="I7" i="14"/>
  <c r="G8" i="13"/>
  <c r="I8" i="13" s="1"/>
  <c r="I8" i="11"/>
  <c r="I8" i="14"/>
  <c r="D8" i="12"/>
  <c r="D5" i="12"/>
  <c r="I5" i="11"/>
  <c r="I5" i="14"/>
  <c r="G5" i="13"/>
  <c r="I5" i="13" s="1"/>
  <c r="D9" i="12"/>
  <c r="G9" i="13"/>
  <c r="I9" i="13" s="1"/>
  <c r="I9" i="11"/>
  <c r="I9" i="14"/>
  <c r="D11" i="12"/>
  <c r="G11" i="13"/>
  <c r="I11" i="13" s="1"/>
  <c r="I11" i="14"/>
  <c r="I11" i="11"/>
  <c r="D18" i="10" l="1"/>
  <c r="G26" i="13"/>
  <c r="I26" i="13" s="1"/>
  <c r="I26" i="14"/>
  <c r="D26" i="12"/>
  <c r="K11" i="14"/>
  <c r="G26" i="7"/>
  <c r="M41" i="7" s="1"/>
  <c r="G18" i="5"/>
  <c r="I18" i="5" s="1"/>
  <c r="H7" i="6"/>
  <c r="D30" i="6" s="1"/>
  <c r="K4" i="15"/>
  <c r="I19" i="11"/>
  <c r="I19" i="14"/>
  <c r="K4" i="14" s="1"/>
  <c r="D19" i="12"/>
  <c r="G19" i="13"/>
  <c r="I19" i="13" s="1"/>
  <c r="F14" i="6"/>
  <c r="H6" i="6" s="1"/>
  <c r="D29" i="6" s="1"/>
  <c r="G5" i="2"/>
  <c r="K7" i="15"/>
  <c r="G22" i="13"/>
  <c r="I22" i="13" s="1"/>
  <c r="I22" i="11"/>
  <c r="D22" i="12"/>
  <c r="I22" i="14"/>
  <c r="K7" i="14" s="1"/>
  <c r="F34" i="2"/>
  <c r="G25" i="5" s="1"/>
  <c r="I11" i="2"/>
  <c r="L11" i="2"/>
  <c r="C11" i="5" s="1"/>
  <c r="K11" i="15"/>
  <c r="I26" i="11"/>
  <c r="G29" i="7"/>
  <c r="M44" i="7" s="1"/>
  <c r="I25" i="11"/>
  <c r="D25" i="12"/>
  <c r="G25" i="13"/>
  <c r="I25" i="13" s="1"/>
  <c r="K10" i="15"/>
  <c r="I25" i="14"/>
  <c r="K10" i="14" s="1"/>
  <c r="I7" i="2"/>
  <c r="K5" i="15"/>
  <c r="G20" i="13"/>
  <c r="I20" i="13" s="1"/>
  <c r="D20" i="12"/>
  <c r="I20" i="14"/>
  <c r="K5" i="14" s="1"/>
  <c r="I20" i="11"/>
  <c r="F13" i="6"/>
  <c r="G4" i="2"/>
  <c r="F35" i="2" s="1"/>
  <c r="G26" i="5" s="1"/>
  <c r="L7" i="2"/>
  <c r="C7" i="5" s="1"/>
  <c r="F19" i="6"/>
  <c r="G10" i="2"/>
  <c r="K8" i="15"/>
  <c r="G23" i="13"/>
  <c r="I23" i="13" s="1"/>
  <c r="I23" i="11"/>
  <c r="D23" i="12"/>
  <c r="I23" i="14"/>
  <c r="K8" i="14" s="1"/>
  <c r="L9" i="6" l="1"/>
  <c r="K10" i="6"/>
  <c r="L4" i="2"/>
  <c r="I4" i="2"/>
  <c r="G21" i="13"/>
  <c r="I21" i="13" s="1"/>
  <c r="D21" i="12"/>
  <c r="I21" i="14"/>
  <c r="K6" i="14" s="1"/>
  <c r="I21" i="11"/>
  <c r="K6" i="15"/>
  <c r="L11" i="6"/>
  <c r="H5" i="6"/>
  <c r="D28" i="6" s="1"/>
  <c r="L10" i="6"/>
  <c r="F36" i="2"/>
  <c r="G27" i="5" s="1"/>
  <c r="L5" i="2"/>
  <c r="C5" i="5" s="1"/>
  <c r="I5" i="2"/>
  <c r="H11" i="6"/>
  <c r="D34" i="6" s="1"/>
  <c r="K9" i="6"/>
  <c r="F41" i="2"/>
  <c r="G32" i="5" s="1"/>
  <c r="L10" i="2"/>
  <c r="C10" i="5" s="1"/>
  <c r="I10" i="2"/>
  <c r="K11" i="6"/>
  <c r="D24" i="12"/>
  <c r="I24" i="14"/>
  <c r="K9" i="14" s="1"/>
  <c r="K9" i="15"/>
  <c r="G24" i="13"/>
  <c r="I24" i="13" s="1"/>
  <c r="I24" i="11"/>
  <c r="K12" i="6"/>
  <c r="I22" i="6" s="1" a="1"/>
  <c r="I22" i="6" s="1"/>
  <c r="I19" i="6" l="1" a="1"/>
  <c r="I19" i="6" s="1"/>
  <c r="K19" i="6" s="1"/>
  <c r="K32" i="13"/>
  <c r="K15" i="13"/>
  <c r="K29" i="13"/>
  <c r="H46" i="14"/>
  <c r="K22" i="13"/>
  <c r="K23" i="13"/>
  <c r="K31" i="13"/>
  <c r="K12" i="13"/>
  <c r="F46" i="14"/>
  <c r="C4" i="5"/>
  <c r="L12" i="2"/>
  <c r="K16" i="13"/>
  <c r="K28" i="13"/>
  <c r="K19" i="13"/>
  <c r="K4" i="13"/>
  <c r="D46" i="14"/>
  <c r="K9" i="13"/>
  <c r="E46" i="14"/>
  <c r="K8" i="13"/>
  <c r="K30" i="13"/>
  <c r="K10" i="13"/>
  <c r="K27" i="13"/>
  <c r="K20" i="13"/>
  <c r="K24" i="13"/>
  <c r="E17" i="2"/>
  <c r="F17" i="2" a="1"/>
  <c r="F17" i="2" s="1"/>
  <c r="H17" i="2" a="1"/>
  <c r="H17" i="2" s="1"/>
  <c r="C17" i="2"/>
  <c r="I17" i="2" a="1"/>
  <c r="I17" i="2" s="1"/>
  <c r="G17" i="2" a="1"/>
  <c r="G17" i="2" s="1"/>
  <c r="K18" i="13"/>
  <c r="J4" i="13" a="1"/>
  <c r="J4" i="13" s="1"/>
  <c r="K17" i="13"/>
  <c r="K33" i="13"/>
  <c r="D46" i="11"/>
  <c r="C46" i="11"/>
  <c r="F46" i="11"/>
  <c r="G46" i="11"/>
  <c r="E46" i="11"/>
  <c r="H46" i="11"/>
  <c r="G46" i="14"/>
  <c r="K14" i="13"/>
  <c r="I46" i="11"/>
  <c r="K26" i="13"/>
  <c r="K25" i="13"/>
  <c r="K11" i="13"/>
  <c r="C46" i="14"/>
  <c r="K21" i="13"/>
  <c r="K13" i="13"/>
  <c r="K6" i="13"/>
  <c r="K7" i="13"/>
  <c r="I20" i="6" a="1"/>
  <c r="I20" i="6" s="1"/>
  <c r="K20" i="6" s="1"/>
  <c r="I18" i="6" a="1"/>
  <c r="I18" i="6" s="1"/>
  <c r="K18" i="6" s="1"/>
  <c r="K5" i="13"/>
  <c r="I27" i="5" l="1"/>
  <c r="I26" i="5"/>
  <c r="I28" i="5"/>
  <c r="I25" i="5"/>
  <c r="I29" i="5"/>
  <c r="I32" i="5"/>
  <c r="I31" i="5"/>
  <c r="I30" i="5"/>
  <c r="L13" i="2"/>
  <c r="G18" i="2" s="1"/>
  <c r="G21" i="2" s="1"/>
  <c r="C12" i="5"/>
  <c r="F7" i="5" s="1" a="1"/>
  <c r="F7" i="5" s="1"/>
  <c r="F9" i="5" s="1"/>
  <c r="F11" i="5" s="1"/>
  <c r="I21" i="6"/>
  <c r="K21" i="6" s="1"/>
  <c r="F18" i="2" l="1"/>
  <c r="F21" i="2" s="1"/>
  <c r="H18" i="2"/>
  <c r="H21" i="2" s="1"/>
  <c r="C18" i="2"/>
  <c r="C21" i="2" s="1"/>
  <c r="D18" i="2"/>
  <c r="D21" i="2" s="1"/>
  <c r="L18" i="6"/>
  <c r="N18" i="6" s="1"/>
  <c r="L19" i="6"/>
  <c r="N19" i="6" s="1"/>
  <c r="L20" i="6"/>
  <c r="N20" i="6" s="1"/>
  <c r="I18" i="2"/>
  <c r="I21" i="2" s="1"/>
  <c r="E18" i="2"/>
  <c r="E21" i="2" s="1"/>
  <c r="I33" i="5" l="1"/>
  <c r="K31" i="5" s="1"/>
  <c r="K24" i="5" l="1"/>
  <c r="K27" i="5"/>
  <c r="K28" i="5"/>
  <c r="K21" i="5"/>
  <c r="K22" i="5"/>
  <c r="K18" i="5"/>
  <c r="J18" i="5" a="1"/>
  <c r="J18" i="5" s="1"/>
  <c r="K32" i="5"/>
  <c r="K29" i="5"/>
  <c r="K19" i="5"/>
  <c r="K20" i="5"/>
  <c r="K33" i="5"/>
  <c r="K25" i="5"/>
  <c r="K23" i="5"/>
  <c r="K30" i="5"/>
  <c r="K2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<sst xmlns="http://schemas.openxmlformats.org/spreadsheetml/2006/main" count="488" uniqueCount="142">
  <si>
    <t>Tail</t>
    <phoneticPr fontId="2" type="noConversion"/>
  </si>
  <si>
    <t>Head</t>
    <phoneticPr fontId="2" type="noConversion"/>
  </si>
  <si>
    <t xml:space="preserve">Winglet </t>
    <phoneticPr fontId="2" type="noConversion"/>
  </si>
  <si>
    <t>Effect</t>
    <phoneticPr fontId="2" type="noConversion"/>
  </si>
  <si>
    <t>Experiment Log</t>
    <phoneticPr fontId="2" type="noConversion"/>
  </si>
  <si>
    <t>Average</t>
    <phoneticPr fontId="2" type="noConversion"/>
  </si>
  <si>
    <t>Flying Time</t>
    <phoneticPr fontId="2" type="noConversion"/>
  </si>
  <si>
    <t>Test</t>
    <phoneticPr fontId="2" type="noConversion"/>
  </si>
  <si>
    <t>Tail x Head</t>
    <phoneticPr fontId="2" type="noConversion"/>
  </si>
  <si>
    <t>Tail x Winglet</t>
    <phoneticPr fontId="2" type="noConversion"/>
  </si>
  <si>
    <t>Head x Winglet</t>
    <phoneticPr fontId="2" type="noConversion"/>
  </si>
  <si>
    <t>s^2</t>
    <phoneticPr fontId="2" type="noConversion"/>
  </si>
  <si>
    <t>Overall Var</t>
    <phoneticPr fontId="2" type="noConversion"/>
  </si>
  <si>
    <t xml:space="preserve">Var(E) </t>
    <phoneticPr fontId="2" type="noConversion"/>
  </si>
  <si>
    <t># s^2_effect</t>
    <phoneticPr fontId="2" type="noConversion"/>
  </si>
  <si>
    <t>Effect and t-Test</t>
    <phoneticPr fontId="2" type="noConversion"/>
  </si>
  <si>
    <t>All Interaction</t>
    <phoneticPr fontId="2" type="noConversion"/>
  </si>
  <si>
    <t>Test Statistics</t>
    <phoneticPr fontId="2" type="noConversion"/>
  </si>
  <si>
    <t>Predictive Model</t>
    <phoneticPr fontId="2" type="noConversion"/>
  </si>
  <si>
    <t>Significance</t>
    <phoneticPr fontId="2" type="noConversion"/>
  </si>
  <si>
    <t>Data</t>
    <phoneticPr fontId="2" type="noConversion"/>
  </si>
  <si>
    <t>y</t>
    <phoneticPr fontId="2" type="noConversion"/>
  </si>
  <si>
    <t>SN</t>
    <phoneticPr fontId="2" type="noConversion"/>
  </si>
  <si>
    <t>SN ratio</t>
    <phoneticPr fontId="2" type="noConversion"/>
  </si>
  <si>
    <t>Winglet</t>
    <phoneticPr fontId="2" type="noConversion"/>
  </si>
  <si>
    <t>Level -1</t>
    <phoneticPr fontId="2" type="noConversion"/>
  </si>
  <si>
    <t>Level 1</t>
    <phoneticPr fontId="2" type="noConversion"/>
  </si>
  <si>
    <t>README</t>
    <phoneticPr fontId="2" type="noConversion"/>
  </si>
  <si>
    <t>Blue boxes mean that the data/ results are reference or copied from previous questions</t>
    <phoneticPr fontId="2" type="noConversion"/>
  </si>
  <si>
    <t>Green boxes are for explanation</t>
    <phoneticPr fontId="2" type="noConversion"/>
  </si>
  <si>
    <t>SN ratio: Larger-the-Better</t>
    <phoneticPr fontId="2" type="noConversion"/>
  </si>
  <si>
    <t>SN = − 10 × log[ (1/y_1^2 ＋1/y_2^2) /2 ]</t>
    <phoneticPr fontId="2" type="noConversion"/>
  </si>
  <si>
    <t>Bartlett's Test</t>
    <phoneticPr fontId="2" type="noConversion"/>
  </si>
  <si>
    <t>Constants</t>
    <phoneticPr fontId="2" type="noConversion"/>
  </si>
  <si>
    <t>m</t>
    <phoneticPr fontId="2" type="noConversion"/>
  </si>
  <si>
    <t>n</t>
    <phoneticPr fontId="2" type="noConversion"/>
  </si>
  <si>
    <t>replicates</t>
    <phoneticPr fontId="2" type="noConversion"/>
  </si>
  <si>
    <t>test</t>
    <phoneticPr fontId="2" type="noConversion"/>
  </si>
  <si>
    <t>alpha</t>
    <phoneticPr fontId="2" type="noConversion"/>
  </si>
  <si>
    <t>N</t>
    <phoneticPr fontId="2" type="noConversion"/>
  </si>
  <si>
    <t>M</t>
    <phoneticPr fontId="2" type="noConversion"/>
  </si>
  <si>
    <t>c</t>
    <phoneticPr fontId="2" type="noConversion"/>
  </si>
  <si>
    <t># s^2_p</t>
    <phoneticPr fontId="2" type="noConversion"/>
  </si>
  <si>
    <t>s^2_p</t>
    <phoneticPr fontId="2" type="noConversion"/>
  </si>
  <si>
    <r>
      <rPr>
        <sz val="12"/>
        <color theme="1"/>
        <rFont val="Cambria Math"/>
        <family val="2"/>
      </rPr>
      <t>𝜒</t>
    </r>
    <r>
      <rPr>
        <sz val="12"/>
        <color theme="1"/>
        <rFont val="新細明體"/>
        <family val="2"/>
        <charset val="136"/>
        <scheme val="minor"/>
      </rPr>
      <t>^2_calc = M / c</t>
    </r>
    <phoneticPr fontId="2" type="noConversion"/>
  </si>
  <si>
    <r>
      <t xml:space="preserve">Reject if </t>
    </r>
    <r>
      <rPr>
        <sz val="12"/>
        <color theme="1"/>
        <rFont val="Cambria Math"/>
        <family val="2"/>
      </rPr>
      <t>𝜒</t>
    </r>
    <r>
      <rPr>
        <sz val="12"/>
        <color theme="1"/>
        <rFont val="新細明體"/>
        <family val="2"/>
        <charset val="136"/>
        <scheme val="minor"/>
      </rPr>
      <t xml:space="preserve">^2_calc &gt; </t>
    </r>
    <r>
      <rPr>
        <sz val="12"/>
        <color theme="1"/>
        <rFont val="Cambria Math"/>
        <family val="2"/>
      </rPr>
      <t>𝜒</t>
    </r>
    <r>
      <rPr>
        <sz val="12"/>
        <color theme="1"/>
        <rFont val="新細明體"/>
        <family val="2"/>
        <charset val="136"/>
        <scheme val="minor"/>
      </rPr>
      <t>^2_{alpha, m-1}</t>
    </r>
    <phoneticPr fontId="2" type="noConversion"/>
  </si>
  <si>
    <t>𝜒^2</t>
    <phoneticPr fontId="2" type="noConversion"/>
  </si>
  <si>
    <t>H_0: σ^2_1 = σ^2_2 = … = σ^2_m</t>
    <phoneticPr fontId="2" type="noConversion"/>
  </si>
  <si>
    <t>H_1: at least one σ_i not equal σ_ j</t>
    <phoneticPr fontId="2" type="noConversion"/>
  </si>
  <si>
    <t>𝜒^2_calc</t>
    <phoneticPr fontId="2" type="noConversion"/>
  </si>
  <si>
    <t>Sheets are labeled with questions</t>
    <phoneticPr fontId="2" type="noConversion"/>
  </si>
  <si>
    <t>Yellow boxes denote the question's main focus</t>
    <phoneticPr fontId="2" type="noConversion"/>
  </si>
  <si>
    <t>Level Design (mm)</t>
    <phoneticPr fontId="2" type="noConversion"/>
  </si>
  <si>
    <t>All Mean</t>
    <phoneticPr fontId="2" type="noConversion"/>
  </si>
  <si>
    <t>Mean</t>
    <phoneticPr fontId="2" type="noConversion"/>
  </si>
  <si>
    <t>ANOVA Table</t>
    <phoneticPr fontId="2" type="noConversion"/>
  </si>
  <si>
    <t>SS</t>
    <phoneticPr fontId="2" type="noConversion"/>
  </si>
  <si>
    <t>Total</t>
    <phoneticPr fontId="2" type="noConversion"/>
  </si>
  <si>
    <t>Error</t>
    <phoneticPr fontId="2" type="noConversion"/>
  </si>
  <si>
    <t>DoF</t>
    <phoneticPr fontId="2" type="noConversion"/>
  </si>
  <si>
    <t>MS</t>
    <phoneticPr fontId="2" type="noConversion"/>
  </si>
  <si>
    <t>F</t>
    <phoneticPr fontId="2" type="noConversion"/>
  </si>
  <si>
    <t>F_alpha</t>
    <phoneticPr fontId="2" type="noConversion"/>
  </si>
  <si>
    <t>Replicate 1</t>
    <phoneticPr fontId="2" type="noConversion"/>
  </si>
  <si>
    <t>Replicate 2</t>
    <phoneticPr fontId="2" type="noConversion"/>
  </si>
  <si>
    <t>Downstream Data</t>
    <phoneticPr fontId="2" type="noConversion"/>
  </si>
  <si>
    <t>Flight 1</t>
    <phoneticPr fontId="2" type="noConversion"/>
  </si>
  <si>
    <t>Flight 2</t>
    <phoneticPr fontId="2" type="noConversion"/>
  </si>
  <si>
    <t>Random Order</t>
    <phoneticPr fontId="2" type="noConversion"/>
  </si>
  <si>
    <t>Level -1.682</t>
    <phoneticPr fontId="2" type="noConversion"/>
  </si>
  <si>
    <t>Level 0</t>
    <phoneticPr fontId="2" type="noConversion"/>
  </si>
  <si>
    <t>Level 1.682</t>
    <phoneticPr fontId="2" type="noConversion"/>
  </si>
  <si>
    <t>Reject H_0</t>
    <phoneticPr fontId="2" type="noConversion"/>
  </si>
  <si>
    <t>Residual Analysis</t>
    <phoneticPr fontId="2" type="noConversion"/>
  </si>
  <si>
    <t>y Predicted</t>
    <phoneticPr fontId="2" type="noConversion"/>
  </si>
  <si>
    <t>Residual</t>
    <phoneticPr fontId="2" type="noConversion"/>
  </si>
  <si>
    <t>Run Order</t>
    <phoneticPr fontId="2" type="noConversion"/>
  </si>
  <si>
    <t>Run Order (For Plot)</t>
    <phoneticPr fontId="2" type="noConversion"/>
  </si>
  <si>
    <t xml:space="preserve">Min </t>
    <phoneticPr fontId="2" type="noConversion"/>
  </si>
  <si>
    <t>Theoritical Q</t>
    <phoneticPr fontId="2" type="noConversion"/>
  </si>
  <si>
    <t>Sorted Q</t>
    <phoneticPr fontId="2" type="noConversion"/>
  </si>
  <si>
    <t>Optimum</t>
    <phoneticPr fontId="2" type="noConversion"/>
  </si>
  <si>
    <t>y</t>
  </si>
  <si>
    <t>Improvement</t>
    <phoneticPr fontId="2" type="noConversion"/>
  </si>
  <si>
    <t>Best in CCD</t>
    <phoneticPr fontId="2" type="noConversion"/>
  </si>
  <si>
    <t>Optim. Fact</t>
    <phoneticPr fontId="2" type="noConversion"/>
  </si>
  <si>
    <t>Optim. CCD</t>
    <phoneticPr fontId="2" type="noConversion"/>
  </si>
  <si>
    <t>SN Predicted</t>
    <phoneticPr fontId="2" type="noConversion"/>
  </si>
  <si>
    <t>Best in Fact.</t>
    <phoneticPr fontId="2" type="noConversion"/>
  </si>
  <si>
    <t>Average y</t>
    <phoneticPr fontId="2" type="noConversion"/>
  </si>
  <si>
    <t>Diff. Pred</t>
    <phoneticPr fontId="2" type="noConversion"/>
  </si>
  <si>
    <t>Downstream Data (Long)</t>
    <phoneticPr fontId="2" type="noConversion"/>
  </si>
  <si>
    <t>Quadratic Regression Data</t>
    <phoneticPr fontId="2" type="noConversion"/>
  </si>
  <si>
    <t>Tail SQ</t>
  </si>
  <si>
    <t>Tail SQ</t>
    <phoneticPr fontId="2" type="noConversion"/>
  </si>
  <si>
    <t>Head SQ</t>
  </si>
  <si>
    <t>Head SQ</t>
    <phoneticPr fontId="2" type="noConversion"/>
  </si>
  <si>
    <t>Winglet SQ</t>
  </si>
  <si>
    <t>Winglet SQ</t>
    <phoneticPr fontId="2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</si>
  <si>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</si>
  <si>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</si>
  <si>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</si>
  <si>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</si>
  <si>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</si>
  <si>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</si>
  <si>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</si>
  <si>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</si>
  <si>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</si>
  <si>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</si>
  <si>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</si>
  <si>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</si>
  <si>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</si>
  <si>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</si>
  <si>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</si>
  <si>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</si>
  <si>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</si>
  <si>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</si>
  <si>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</si>
  <si>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</si>
  <si>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</si>
  <si>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</si>
  <si>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</si>
  <si>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</si>
  <si>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Tail</t>
  </si>
  <si>
    <t>Head</t>
  </si>
  <si>
    <t xml:space="preserve">Winglet </t>
  </si>
  <si>
    <t>Tail x Head</t>
  </si>
  <si>
    <t>Correlation</t>
    <phoneticPr fontId="2" type="noConversion"/>
  </si>
  <si>
    <t>Adjusted</t>
    <phoneticPr fontId="2" type="noConversion"/>
  </si>
  <si>
    <t>Predict and Verification</t>
    <phoneticPr fontId="2" type="noConversion"/>
  </si>
  <si>
    <t>Gray shades represent experiment result</t>
    <phoneticPr fontId="2" type="noConversion"/>
  </si>
  <si>
    <t>t_0.025</t>
    <phoneticPr fontId="2" type="noConversion"/>
  </si>
  <si>
    <t>t_0.975</t>
    <phoneticPr fontId="2" type="noConversion"/>
  </si>
  <si>
    <t>Var. Source</t>
    <phoneticPr fontId="2" type="noConversion"/>
  </si>
  <si>
    <t>Calculate the predicted value</t>
    <phoneticPr fontId="2" type="noConversion"/>
  </si>
  <si>
    <t>s_i^2</t>
    <phoneticPr fontId="2" type="noConversion"/>
  </si>
  <si>
    <t>Variance of Noise</t>
    <phoneticPr fontId="2" type="noConversion"/>
  </si>
  <si>
    <t xml:space="preserve"> </t>
    <phoneticPr fontId="2" type="noConversion"/>
  </si>
  <si>
    <t xml:space="preserve">Linear Regression Data </t>
    <phoneticPr fontId="2" type="noConversion"/>
  </si>
  <si>
    <t>Linear Regression Data</t>
    <phoneticPr fontId="2" type="noConversion"/>
  </si>
  <si>
    <t>use the most significant effect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</si>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</sst>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_ "/>
    <numFmt numFmtId="178" formatCode="0.00000"/>
  </numFmts>
  <fonts count="19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Menlo"/>
      <family val="2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Cambria Math"/>
      <family val="2"/>
    </font>
    <font>
      <sz val="13"/>
      <color rgb="FF000000"/>
      <name val="Courier New"/>
      <family val="1"/>
    </font>
    <font>
      <sz val="12"/>
      <name val="新細明體"/>
      <family val="2"/>
      <charset val="136"/>
      <scheme val="minor"/>
    </font>
    <font>
      <sz val="12"/>
      <color theme="2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15" xfId="0" applyFont="1" applyBorder="1">
      <alignment vertical="center"/>
    </xf>
    <xf numFmtId="0" fontId="7" fillId="0" borderId="13" xfId="0" applyFont="1" applyBorder="1">
      <alignment vertical="center"/>
    </xf>
    <xf numFmtId="0" fontId="6" fillId="0" borderId="2" xfId="0" applyFont="1" applyBorder="1">
      <alignment vertical="center"/>
    </xf>
    <xf numFmtId="176" fontId="0" fillId="0" borderId="0" xfId="0" applyNumberFormat="1">
      <alignment vertical="center"/>
    </xf>
    <xf numFmtId="176" fontId="0" fillId="0" borderId="12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7" xfId="0" applyNumberFormat="1" applyBorder="1">
      <alignment vertical="center"/>
    </xf>
    <xf numFmtId="0" fontId="6" fillId="0" borderId="13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2" fontId="0" fillId="0" borderId="5" xfId="0" applyNumberFormat="1" applyBorder="1">
      <alignment vertical="center"/>
    </xf>
    <xf numFmtId="2" fontId="0" fillId="0" borderId="4" xfId="0" applyNumberFormat="1" applyBorder="1">
      <alignment vertical="center"/>
    </xf>
    <xf numFmtId="0" fontId="6" fillId="0" borderId="14" xfId="0" applyFont="1" applyBorder="1">
      <alignment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1" fillId="0" borderId="13" xfId="0" applyFont="1" applyBorder="1">
      <alignment vertical="center"/>
    </xf>
    <xf numFmtId="0" fontId="10" fillId="0" borderId="3" xfId="0" applyFont="1" applyBorder="1">
      <alignment vertical="center"/>
    </xf>
    <xf numFmtId="0" fontId="4" fillId="0" borderId="0" xfId="0" applyFont="1">
      <alignment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0" fontId="6" fillId="0" borderId="0" xfId="0" applyFont="1">
      <alignment vertical="center"/>
    </xf>
    <xf numFmtId="2" fontId="0" fillId="0" borderId="0" xfId="0" applyNumberFormat="1">
      <alignment vertical="center"/>
    </xf>
    <xf numFmtId="2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1" fillId="0" borderId="6" xfId="0" applyFont="1" applyBorder="1">
      <alignment vertical="center"/>
    </xf>
    <xf numFmtId="0" fontId="13" fillId="0" borderId="0" xfId="0" applyFont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6" borderId="0" xfId="0" applyFill="1">
      <alignment vertical="center"/>
    </xf>
    <xf numFmtId="0" fontId="0" fillId="6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ill="1" applyBorder="1">
      <alignment vertical="center"/>
    </xf>
    <xf numFmtId="0" fontId="10" fillId="0" borderId="8" xfId="0" applyFont="1" applyBorder="1">
      <alignment vertical="center"/>
    </xf>
    <xf numFmtId="0" fontId="10" fillId="0" borderId="15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7" xfId="0" applyFont="1" applyBorder="1">
      <alignment vertical="center"/>
    </xf>
    <xf numFmtId="178" fontId="0" fillId="0" borderId="0" xfId="0" applyNumberFormat="1">
      <alignment vertical="center"/>
    </xf>
    <xf numFmtId="0" fontId="10" fillId="0" borderId="13" xfId="0" applyFont="1" applyBorder="1">
      <alignment vertical="center"/>
    </xf>
    <xf numFmtId="2" fontId="0" fillId="0" borderId="6" xfId="0" applyNumberFormat="1" applyBorder="1">
      <alignment vertical="center"/>
    </xf>
    <xf numFmtId="2" fontId="0" fillId="0" borderId="7" xfId="0" applyNumberFormat="1" applyBorder="1">
      <alignment vertical="center"/>
    </xf>
    <xf numFmtId="178" fontId="0" fillId="0" borderId="6" xfId="0" applyNumberFormat="1" applyBorder="1">
      <alignment vertical="center"/>
    </xf>
    <xf numFmtId="178" fontId="0" fillId="0" borderId="3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2" fontId="0" fillId="0" borderId="12" xfId="0" applyNumberFormat="1" applyBorder="1">
      <alignment vertical="center"/>
    </xf>
    <xf numFmtId="177" fontId="0" fillId="0" borderId="0" xfId="0" applyNumberFormat="1">
      <alignment vertical="center"/>
    </xf>
    <xf numFmtId="0" fontId="15" fillId="0" borderId="0" xfId="0" applyFont="1">
      <alignment vertical="center"/>
    </xf>
    <xf numFmtId="0" fontId="15" fillId="0" borderId="6" xfId="0" applyFont="1" applyBorder="1">
      <alignment vertical="center"/>
    </xf>
    <xf numFmtId="0" fontId="15" fillId="0" borderId="3" xfId="0" applyFont="1" applyBorder="1">
      <alignment vertical="center"/>
    </xf>
    <xf numFmtId="0" fontId="15" fillId="0" borderId="2" xfId="0" applyFont="1" applyBorder="1">
      <alignment vertical="center"/>
    </xf>
    <xf numFmtId="0" fontId="15" fillId="0" borderId="7" xfId="0" applyFon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8" fillId="0" borderId="14" xfId="0" applyNumberFormat="1" applyFont="1" applyBorder="1">
      <alignment vertical="center"/>
    </xf>
    <xf numFmtId="0" fontId="16" fillId="0" borderId="0" xfId="0" applyFont="1">
      <alignment vertical="center"/>
    </xf>
    <xf numFmtId="0" fontId="0" fillId="0" borderId="17" xfId="0" applyBorder="1" applyAlignment="1">
      <alignment horizontal="centerContinuous" vertical="center"/>
    </xf>
    <xf numFmtId="0" fontId="17" fillId="0" borderId="0" xfId="0" applyFont="1">
      <alignment vertical="center"/>
    </xf>
    <xf numFmtId="0" fontId="17" fillId="0" borderId="16" xfId="0" applyFont="1" applyBorder="1">
      <alignment vertical="center"/>
    </xf>
    <xf numFmtId="0" fontId="10" fillId="0" borderId="0" xfId="0" applyFont="1">
      <alignment vertical="center"/>
    </xf>
    <xf numFmtId="0" fontId="10" fillId="0" borderId="12" xfId="0" applyFont="1" applyBorder="1">
      <alignment vertical="center"/>
    </xf>
    <xf numFmtId="0" fontId="10" fillId="0" borderId="6" xfId="0" applyFont="1" applyBorder="1">
      <alignment vertical="center"/>
    </xf>
    <xf numFmtId="0" fontId="18" fillId="0" borderId="0" xfId="0" applyFont="1">
      <alignment vertical="center"/>
    </xf>
    <xf numFmtId="0" fontId="6" fillId="0" borderId="1" xfId="0" applyFont="1" applyBorder="1">
      <alignment vertical="center"/>
    </xf>
    <xf numFmtId="0" fontId="8" fillId="0" borderId="0" xfId="0" applyFont="1">
      <alignment vertical="center"/>
    </xf>
    <xf numFmtId="0" fontId="1" fillId="0" borderId="0" xfId="0" applyFont="1">
      <alignment vertical="center"/>
    </xf>
    <xf numFmtId="0" fontId="1" fillId="0" borderId="16" xfId="0" applyFont="1" applyBorder="1">
      <alignment vertical="center"/>
    </xf>
    <xf numFmtId="0" fontId="4" fillId="3" borderId="1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vs. Run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'Q8-Plot&amp;Bartlett'!$C$18:$C$33</c:f>
              <c:numCache>
                <c:formatCode>General</c:formatCode>
                <c:ptCount val="16"/>
                <c:pt idx="0">
                  <c:v>16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7</c:v>
                </c:pt>
                <c:pt idx="6">
                  <c:v>14</c:v>
                </c:pt>
                <c:pt idx="7">
                  <c:v>1</c:v>
                </c:pt>
                <c:pt idx="8">
                  <c:v>8</c:v>
                </c:pt>
                <c:pt idx="9">
                  <c:v>5</c:v>
                </c:pt>
                <c:pt idx="10">
                  <c:v>11</c:v>
                </c:pt>
                <c:pt idx="11">
                  <c:v>15</c:v>
                </c:pt>
                <c:pt idx="12">
                  <c:v>10</c:v>
                </c:pt>
                <c:pt idx="13">
                  <c:v>13</c:v>
                </c:pt>
                <c:pt idx="14">
                  <c:v>2</c:v>
                </c:pt>
                <c:pt idx="15">
                  <c:v>3</c:v>
                </c:pt>
              </c:numCache>
            </c:numRef>
          </c:xVal>
          <c:yVal>
            <c:numRef>
              <c:f>'Q8-Plot&amp;Bartlett'!$I$18:$I$33</c:f>
              <c:numCache>
                <c:formatCode>General</c:formatCode>
                <c:ptCount val="16"/>
                <c:pt idx="0">
                  <c:v>0.69500000000000028</c:v>
                </c:pt>
                <c:pt idx="1">
                  <c:v>-5.400000000000027E-2</c:v>
                </c:pt>
                <c:pt idx="2">
                  <c:v>0.79900000000000038</c:v>
                </c:pt>
                <c:pt idx="3">
                  <c:v>8.0000000000000293E-2</c:v>
                </c:pt>
                <c:pt idx="4">
                  <c:v>-0.1579999999999997</c:v>
                </c:pt>
                <c:pt idx="5">
                  <c:v>0.38600000000000012</c:v>
                </c:pt>
                <c:pt idx="6">
                  <c:v>-0.24399999999999955</c:v>
                </c:pt>
                <c:pt idx="7">
                  <c:v>0.40000000000000013</c:v>
                </c:pt>
                <c:pt idx="8">
                  <c:v>-0.1549999999999998</c:v>
                </c:pt>
                <c:pt idx="9">
                  <c:v>-0.39900000000000002</c:v>
                </c:pt>
                <c:pt idx="10">
                  <c:v>-0.9159999999999997</c:v>
                </c:pt>
                <c:pt idx="11">
                  <c:v>-4.9999999999999822E-2</c:v>
                </c:pt>
                <c:pt idx="12">
                  <c:v>0.25700000000000034</c:v>
                </c:pt>
                <c:pt idx="13">
                  <c:v>-0.57399999999999962</c:v>
                </c:pt>
                <c:pt idx="14">
                  <c:v>0.5660000000000005</c:v>
                </c:pt>
                <c:pt idx="15">
                  <c:v>-0.62999999999999967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68-214C-A9A0-5CD8C6000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157616"/>
        <c:axId val="74025824"/>
      </c:scatterChart>
      <c:valAx>
        <c:axId val="67915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025824"/>
        <c:crosses val="autoZero"/>
        <c:crossBetween val="midCat"/>
      </c:valAx>
      <c:valAx>
        <c:axId val="7402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15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vs. Tail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'Q8-Plot&amp;Bartlett'!$D$18:$D$33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</c:numCache>
            </c:numRef>
          </c:xVal>
          <c:yVal>
            <c:numRef>
              <c:f>'Q8-Plot&amp;Bartlett'!$I$18:$I$33</c:f>
              <c:numCache>
                <c:formatCode>General</c:formatCode>
                <c:ptCount val="16"/>
                <c:pt idx="0">
                  <c:v>0.69500000000000028</c:v>
                </c:pt>
                <c:pt idx="1">
                  <c:v>-5.400000000000027E-2</c:v>
                </c:pt>
                <c:pt idx="2">
                  <c:v>0.79900000000000038</c:v>
                </c:pt>
                <c:pt idx="3">
                  <c:v>8.0000000000000293E-2</c:v>
                </c:pt>
                <c:pt idx="4">
                  <c:v>-0.1579999999999997</c:v>
                </c:pt>
                <c:pt idx="5">
                  <c:v>0.38600000000000012</c:v>
                </c:pt>
                <c:pt idx="6">
                  <c:v>-0.24399999999999955</c:v>
                </c:pt>
                <c:pt idx="7">
                  <c:v>0.40000000000000013</c:v>
                </c:pt>
                <c:pt idx="8">
                  <c:v>-0.1549999999999998</c:v>
                </c:pt>
                <c:pt idx="9">
                  <c:v>-0.39900000000000002</c:v>
                </c:pt>
                <c:pt idx="10">
                  <c:v>-0.9159999999999997</c:v>
                </c:pt>
                <c:pt idx="11">
                  <c:v>-4.9999999999999822E-2</c:v>
                </c:pt>
                <c:pt idx="12">
                  <c:v>0.25700000000000034</c:v>
                </c:pt>
                <c:pt idx="13">
                  <c:v>-0.57399999999999962</c:v>
                </c:pt>
                <c:pt idx="14">
                  <c:v>0.5660000000000005</c:v>
                </c:pt>
                <c:pt idx="15">
                  <c:v>-0.62999999999999967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68-214C-A9A0-5CD8C6000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157616"/>
        <c:axId val="74025824"/>
      </c:scatterChart>
      <c:valAx>
        <c:axId val="67915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025824"/>
        <c:crosses val="autoZero"/>
        <c:crossBetween val="midCat"/>
      </c:valAx>
      <c:valAx>
        <c:axId val="7402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15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vs. Head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'Q8-Plot&amp;Bartlett'!$E$18:$E$33</c:f>
              <c:numCache>
                <c:formatCode>General</c:formatCode>
                <c:ptCount val="16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</c:numCache>
            </c:numRef>
          </c:xVal>
          <c:yVal>
            <c:numRef>
              <c:f>'Q8-Plot&amp;Bartlett'!$I$18:$I$33</c:f>
              <c:numCache>
                <c:formatCode>General</c:formatCode>
                <c:ptCount val="16"/>
                <c:pt idx="0">
                  <c:v>0.69500000000000028</c:v>
                </c:pt>
                <c:pt idx="1">
                  <c:v>-5.400000000000027E-2</c:v>
                </c:pt>
                <c:pt idx="2">
                  <c:v>0.79900000000000038</c:v>
                </c:pt>
                <c:pt idx="3">
                  <c:v>8.0000000000000293E-2</c:v>
                </c:pt>
                <c:pt idx="4">
                  <c:v>-0.1579999999999997</c:v>
                </c:pt>
                <c:pt idx="5">
                  <c:v>0.38600000000000012</c:v>
                </c:pt>
                <c:pt idx="6">
                  <c:v>-0.24399999999999955</c:v>
                </c:pt>
                <c:pt idx="7">
                  <c:v>0.40000000000000013</c:v>
                </c:pt>
                <c:pt idx="8">
                  <c:v>-0.1549999999999998</c:v>
                </c:pt>
                <c:pt idx="9">
                  <c:v>-0.39900000000000002</c:v>
                </c:pt>
                <c:pt idx="10">
                  <c:v>-0.9159999999999997</c:v>
                </c:pt>
                <c:pt idx="11">
                  <c:v>-4.9999999999999822E-2</c:v>
                </c:pt>
                <c:pt idx="12">
                  <c:v>0.25700000000000034</c:v>
                </c:pt>
                <c:pt idx="13">
                  <c:v>-0.57399999999999962</c:v>
                </c:pt>
                <c:pt idx="14">
                  <c:v>0.5660000000000005</c:v>
                </c:pt>
                <c:pt idx="15">
                  <c:v>-0.62999999999999967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68-214C-A9A0-5CD8C6000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157616"/>
        <c:axId val="74025824"/>
      </c:scatterChart>
      <c:valAx>
        <c:axId val="67915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025824"/>
        <c:crosses val="autoZero"/>
        <c:crossBetween val="midCat"/>
      </c:valAx>
      <c:valAx>
        <c:axId val="7402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15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vs. Winglet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'Q8-Plot&amp;Bartlett'!$F$18:$F$33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-1</c:v>
                </c:pt>
                <c:pt idx="7">
                  <c:v>-1</c:v>
                </c:pt>
                <c:pt idx="8">
                  <c:v>1</c:v>
                </c:pt>
                <c:pt idx="9">
                  <c:v>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-1</c:v>
                </c:pt>
                <c:pt idx="15">
                  <c:v>-1</c:v>
                </c:pt>
              </c:numCache>
            </c:numRef>
          </c:xVal>
          <c:yVal>
            <c:numRef>
              <c:f>'Q8-Plot&amp;Bartlett'!$I$18:$I$33</c:f>
              <c:numCache>
                <c:formatCode>General</c:formatCode>
                <c:ptCount val="16"/>
                <c:pt idx="0">
                  <c:v>0.69500000000000028</c:v>
                </c:pt>
                <c:pt idx="1">
                  <c:v>-5.400000000000027E-2</c:v>
                </c:pt>
                <c:pt idx="2">
                  <c:v>0.79900000000000038</c:v>
                </c:pt>
                <c:pt idx="3">
                  <c:v>8.0000000000000293E-2</c:v>
                </c:pt>
                <c:pt idx="4">
                  <c:v>-0.1579999999999997</c:v>
                </c:pt>
                <c:pt idx="5">
                  <c:v>0.38600000000000012</c:v>
                </c:pt>
                <c:pt idx="6">
                  <c:v>-0.24399999999999955</c:v>
                </c:pt>
                <c:pt idx="7">
                  <c:v>0.40000000000000013</c:v>
                </c:pt>
                <c:pt idx="8">
                  <c:v>-0.1549999999999998</c:v>
                </c:pt>
                <c:pt idx="9">
                  <c:v>-0.39900000000000002</c:v>
                </c:pt>
                <c:pt idx="10">
                  <c:v>-0.9159999999999997</c:v>
                </c:pt>
                <c:pt idx="11">
                  <c:v>-4.9999999999999822E-2</c:v>
                </c:pt>
                <c:pt idx="12">
                  <c:v>0.25700000000000034</c:v>
                </c:pt>
                <c:pt idx="13">
                  <c:v>-0.57399999999999962</c:v>
                </c:pt>
                <c:pt idx="14">
                  <c:v>0.5660000000000005</c:v>
                </c:pt>
                <c:pt idx="15">
                  <c:v>-0.62999999999999967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68-214C-A9A0-5CD8C6000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157616"/>
        <c:axId val="74025824"/>
      </c:scatterChart>
      <c:valAx>
        <c:axId val="67915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025824"/>
        <c:crosses val="autoZero"/>
        <c:crossBetween val="midCat"/>
      </c:valAx>
      <c:valAx>
        <c:axId val="7402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15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vs</a:t>
            </a:r>
            <a:r>
              <a:rPr lang="en-US" altLang="zh-TW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. y Predicted</a:t>
            </a:r>
            <a:endParaRPr lang="en-US" altLang="zh-TW" sz="14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'Q8-Plot&amp;Bartlett'!$H$18:$H$33</c:f>
              <c:numCache>
                <c:formatCode>General</c:formatCode>
                <c:ptCount val="16"/>
                <c:pt idx="0">
                  <c:v>2.76</c:v>
                </c:pt>
                <c:pt idx="1">
                  <c:v>2.1440000000000001</c:v>
                </c:pt>
                <c:pt idx="2">
                  <c:v>2.4059999999999997</c:v>
                </c:pt>
                <c:pt idx="3">
                  <c:v>1.7899999999999998</c:v>
                </c:pt>
                <c:pt idx="4">
                  <c:v>1.6779999999999997</c:v>
                </c:pt>
                <c:pt idx="5">
                  <c:v>2.2939999999999996</c:v>
                </c:pt>
                <c:pt idx="6">
                  <c:v>1.3239999999999996</c:v>
                </c:pt>
                <c:pt idx="7">
                  <c:v>1.9399999999999997</c:v>
                </c:pt>
                <c:pt idx="8">
                  <c:v>2.76</c:v>
                </c:pt>
                <c:pt idx="9">
                  <c:v>2.1440000000000001</c:v>
                </c:pt>
                <c:pt idx="10">
                  <c:v>2.4059999999999997</c:v>
                </c:pt>
                <c:pt idx="11">
                  <c:v>1.7899999999999998</c:v>
                </c:pt>
                <c:pt idx="12">
                  <c:v>1.6779999999999997</c:v>
                </c:pt>
                <c:pt idx="13">
                  <c:v>2.2939999999999996</c:v>
                </c:pt>
                <c:pt idx="14">
                  <c:v>1.3239999999999996</c:v>
                </c:pt>
                <c:pt idx="15">
                  <c:v>1.9399999999999997</c:v>
                </c:pt>
              </c:numCache>
            </c:numRef>
          </c:xVal>
          <c:yVal>
            <c:numRef>
              <c:f>'Q8-Plot&amp;Bartlett'!$I$18:$I$33</c:f>
              <c:numCache>
                <c:formatCode>General</c:formatCode>
                <c:ptCount val="16"/>
                <c:pt idx="0">
                  <c:v>0.69500000000000028</c:v>
                </c:pt>
                <c:pt idx="1">
                  <c:v>-5.400000000000027E-2</c:v>
                </c:pt>
                <c:pt idx="2">
                  <c:v>0.79900000000000038</c:v>
                </c:pt>
                <c:pt idx="3">
                  <c:v>8.0000000000000293E-2</c:v>
                </c:pt>
                <c:pt idx="4">
                  <c:v>-0.1579999999999997</c:v>
                </c:pt>
                <c:pt idx="5">
                  <c:v>0.38600000000000012</c:v>
                </c:pt>
                <c:pt idx="6">
                  <c:v>-0.24399999999999955</c:v>
                </c:pt>
                <c:pt idx="7">
                  <c:v>0.40000000000000013</c:v>
                </c:pt>
                <c:pt idx="8">
                  <c:v>-0.1549999999999998</c:v>
                </c:pt>
                <c:pt idx="9">
                  <c:v>-0.39900000000000002</c:v>
                </c:pt>
                <c:pt idx="10">
                  <c:v>-0.9159999999999997</c:v>
                </c:pt>
                <c:pt idx="11">
                  <c:v>-4.9999999999999822E-2</c:v>
                </c:pt>
                <c:pt idx="12">
                  <c:v>0.25700000000000034</c:v>
                </c:pt>
                <c:pt idx="13">
                  <c:v>-0.57399999999999962</c:v>
                </c:pt>
                <c:pt idx="14">
                  <c:v>0.5660000000000005</c:v>
                </c:pt>
                <c:pt idx="15">
                  <c:v>-0.62999999999999967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68-214C-A9A0-5CD8C6000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157616"/>
        <c:axId val="74025824"/>
      </c:scatterChart>
      <c:valAx>
        <c:axId val="67915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025824"/>
        <c:crosses val="autoZero"/>
        <c:crossBetween val="midCat"/>
      </c:valAx>
      <c:valAx>
        <c:axId val="7402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15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QQ Plot For Residual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'Q8-Plot&amp;Bartlett'!$K$18:$K$33</c:f>
              <c:numCache>
                <c:formatCode>0.00</c:formatCode>
                <c:ptCount val="16"/>
                <c:pt idx="0">
                  <c:v>-0.92016045377639799</c:v>
                </c:pt>
                <c:pt idx="1">
                  <c:v>-0.6510219701355755</c:v>
                </c:pt>
                <c:pt idx="2">
                  <c:v>-0.49883353564147398</c:v>
                </c:pt>
                <c:pt idx="3">
                  <c:v>-0.38343087881104404</c:v>
                </c:pt>
                <c:pt idx="4">
                  <c:v>-0.28595303896859109</c:v>
                </c:pt>
                <c:pt idx="5">
                  <c:v>-0.19855824059749561</c:v>
                </c:pt>
                <c:pt idx="6">
                  <c:v>-0.11701051425546673</c:v>
                </c:pt>
                <c:pt idx="7">
                  <c:v>-3.8554900273358284E-2</c:v>
                </c:pt>
                <c:pt idx="8">
                  <c:v>3.892990027335877E-2</c:v>
                </c:pt>
                <c:pt idx="9">
                  <c:v>0.11738551425546721</c:v>
                </c:pt>
                <c:pt idx="10">
                  <c:v>0.19893324059749606</c:v>
                </c:pt>
                <c:pt idx="11">
                  <c:v>0.28632803896859155</c:v>
                </c:pt>
                <c:pt idx="12">
                  <c:v>0.3838058788110445</c:v>
                </c:pt>
                <c:pt idx="13">
                  <c:v>0.49920853564147444</c:v>
                </c:pt>
                <c:pt idx="14">
                  <c:v>0.65139697013557596</c:v>
                </c:pt>
                <c:pt idx="15">
                  <c:v>0.92053545377639845</c:v>
                </c:pt>
              </c:numCache>
            </c:numRef>
          </c:xVal>
          <c:yVal>
            <c:numRef>
              <c:f>'Q8-Plot&amp;Bartlett'!$J$18:$J$33</c:f>
              <c:numCache>
                <c:formatCode>General</c:formatCode>
                <c:ptCount val="16"/>
                <c:pt idx="0">
                  <c:v>-0.9159999999999997</c:v>
                </c:pt>
                <c:pt idx="1">
                  <c:v>-0.62999999999999967</c:v>
                </c:pt>
                <c:pt idx="2">
                  <c:v>-0.57399999999999962</c:v>
                </c:pt>
                <c:pt idx="3">
                  <c:v>-0.39900000000000002</c:v>
                </c:pt>
                <c:pt idx="4">
                  <c:v>-0.24399999999999955</c:v>
                </c:pt>
                <c:pt idx="5">
                  <c:v>-0.1579999999999997</c:v>
                </c:pt>
                <c:pt idx="6">
                  <c:v>-0.1549999999999998</c:v>
                </c:pt>
                <c:pt idx="7">
                  <c:v>-5.400000000000027E-2</c:v>
                </c:pt>
                <c:pt idx="8">
                  <c:v>-4.9999999999999822E-2</c:v>
                </c:pt>
                <c:pt idx="9">
                  <c:v>8.0000000000000293E-2</c:v>
                </c:pt>
                <c:pt idx="10">
                  <c:v>0.25700000000000034</c:v>
                </c:pt>
                <c:pt idx="11">
                  <c:v>0.38600000000000012</c:v>
                </c:pt>
                <c:pt idx="12">
                  <c:v>0.40000000000000013</c:v>
                </c:pt>
                <c:pt idx="13">
                  <c:v>0.5660000000000005</c:v>
                </c:pt>
                <c:pt idx="14">
                  <c:v>0.69500000000000028</c:v>
                </c:pt>
                <c:pt idx="15">
                  <c:v>0.79900000000000038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68-214C-A9A0-5CD8C6000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157616"/>
        <c:axId val="74025824"/>
      </c:scatterChart>
      <c:valAx>
        <c:axId val="67915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025824"/>
        <c:crosses val="autoZero"/>
        <c:crossBetween val="midCat"/>
      </c:valAx>
      <c:valAx>
        <c:axId val="7402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15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vs. Run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'Q16-Plot'!$C$4:$C$33</c:f>
              <c:numCache>
                <c:formatCode>General</c:formatCode>
                <c:ptCount val="30"/>
                <c:pt idx="0">
                  <c:v>16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7</c:v>
                </c:pt>
                <c:pt idx="6">
                  <c:v>14</c:v>
                </c:pt>
                <c:pt idx="7">
                  <c:v>1</c:v>
                </c:pt>
                <c:pt idx="8">
                  <c:v>22</c:v>
                </c:pt>
                <c:pt idx="9">
                  <c:v>23</c:v>
                </c:pt>
                <c:pt idx="10">
                  <c:v>20</c:v>
                </c:pt>
                <c:pt idx="11">
                  <c:v>18</c:v>
                </c:pt>
                <c:pt idx="12">
                  <c:v>30</c:v>
                </c:pt>
                <c:pt idx="13">
                  <c:v>17</c:v>
                </c:pt>
                <c:pt idx="14">
                  <c:v>27</c:v>
                </c:pt>
                <c:pt idx="15">
                  <c:v>8</c:v>
                </c:pt>
                <c:pt idx="16">
                  <c:v>5</c:v>
                </c:pt>
                <c:pt idx="17">
                  <c:v>11</c:v>
                </c:pt>
                <c:pt idx="18">
                  <c:v>15</c:v>
                </c:pt>
                <c:pt idx="19">
                  <c:v>10</c:v>
                </c:pt>
                <c:pt idx="20">
                  <c:v>13</c:v>
                </c:pt>
                <c:pt idx="21">
                  <c:v>2</c:v>
                </c:pt>
                <c:pt idx="22">
                  <c:v>3</c:v>
                </c:pt>
                <c:pt idx="23">
                  <c:v>24</c:v>
                </c:pt>
                <c:pt idx="24">
                  <c:v>26</c:v>
                </c:pt>
                <c:pt idx="25">
                  <c:v>21</c:v>
                </c:pt>
                <c:pt idx="26">
                  <c:v>28</c:v>
                </c:pt>
                <c:pt idx="27">
                  <c:v>19</c:v>
                </c:pt>
                <c:pt idx="28">
                  <c:v>29</c:v>
                </c:pt>
                <c:pt idx="29">
                  <c:v>25</c:v>
                </c:pt>
              </c:numCache>
            </c:numRef>
          </c:xVal>
          <c:yVal>
            <c:numRef>
              <c:f>'Q16-Plot'!$I$4:$I$33</c:f>
              <c:numCache>
                <c:formatCode>General</c:formatCode>
                <c:ptCount val="30"/>
                <c:pt idx="0">
                  <c:v>1.1550000000000002</c:v>
                </c:pt>
                <c:pt idx="1">
                  <c:v>-0.20999999999999996</c:v>
                </c:pt>
                <c:pt idx="2">
                  <c:v>0.90500000000000025</c:v>
                </c:pt>
                <c:pt idx="3">
                  <c:v>-0.42999999999999972</c:v>
                </c:pt>
                <c:pt idx="4">
                  <c:v>-0.39999999999999991</c:v>
                </c:pt>
                <c:pt idx="5">
                  <c:v>0.75999999999999979</c:v>
                </c:pt>
                <c:pt idx="6">
                  <c:v>-0.83999999999999986</c:v>
                </c:pt>
                <c:pt idx="7">
                  <c:v>0.41999999999999993</c:v>
                </c:pt>
                <c:pt idx="8">
                  <c:v>0.16457999999999995</c:v>
                </c:pt>
                <c:pt idx="9">
                  <c:v>0.15542000000000034</c:v>
                </c:pt>
                <c:pt idx="10">
                  <c:v>1.0800000000000005</c:v>
                </c:pt>
                <c:pt idx="11">
                  <c:v>0.16999999999999993</c:v>
                </c:pt>
                <c:pt idx="12">
                  <c:v>0.16000000000000014</c:v>
                </c:pt>
                <c:pt idx="13">
                  <c:v>0.26000000000000023</c:v>
                </c:pt>
                <c:pt idx="14">
                  <c:v>2.0000000000000018E-2</c:v>
                </c:pt>
                <c:pt idx="15">
                  <c:v>0.30500000000000016</c:v>
                </c:pt>
                <c:pt idx="16">
                  <c:v>-0.55499999999999972</c:v>
                </c:pt>
                <c:pt idx="17">
                  <c:v>-0.80999999999999983</c:v>
                </c:pt>
                <c:pt idx="18">
                  <c:v>-0.55999999999999983</c:v>
                </c:pt>
                <c:pt idx="19">
                  <c:v>1.5000000000000124E-2</c:v>
                </c:pt>
                <c:pt idx="20">
                  <c:v>-0.19999999999999996</c:v>
                </c:pt>
                <c:pt idx="21">
                  <c:v>-2.9999999999999805E-2</c:v>
                </c:pt>
                <c:pt idx="22">
                  <c:v>-0.60999999999999988</c:v>
                </c:pt>
                <c:pt idx="23">
                  <c:v>0.22958000000000012</c:v>
                </c:pt>
                <c:pt idx="24">
                  <c:v>-0.23457999999999934</c:v>
                </c:pt>
                <c:pt idx="25">
                  <c:v>-0.97499999999999987</c:v>
                </c:pt>
                <c:pt idx="26">
                  <c:v>0.66500000000000048</c:v>
                </c:pt>
                <c:pt idx="27">
                  <c:v>-0.82999999999999985</c:v>
                </c:pt>
                <c:pt idx="28">
                  <c:v>-7.4999999999999734E-2</c:v>
                </c:pt>
                <c:pt idx="29">
                  <c:v>0.16500000000000004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8A-4342-9EFA-8E3637088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157616"/>
        <c:axId val="74025824"/>
      </c:scatterChart>
      <c:valAx>
        <c:axId val="67915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025824"/>
        <c:crosses val="autoZero"/>
        <c:crossBetween val="midCat"/>
      </c:valAx>
      <c:valAx>
        <c:axId val="7402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15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vs. Tail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'Q16-Plot'!$D$4:$D$33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-1.6819999999999999</c:v>
                </c:pt>
                <c:pt idx="9">
                  <c:v>1.6819999999999999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-1.6819999999999999</c:v>
                </c:pt>
                <c:pt idx="24">
                  <c:v>1.6819999999999999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xVal>
          <c:yVal>
            <c:numRef>
              <c:f>'Q16-Plot'!$I$4:$I$33</c:f>
              <c:numCache>
                <c:formatCode>General</c:formatCode>
                <c:ptCount val="30"/>
                <c:pt idx="0">
                  <c:v>1.1550000000000002</c:v>
                </c:pt>
                <c:pt idx="1">
                  <c:v>-0.20999999999999996</c:v>
                </c:pt>
                <c:pt idx="2">
                  <c:v>0.90500000000000025</c:v>
                </c:pt>
                <c:pt idx="3">
                  <c:v>-0.42999999999999972</c:v>
                </c:pt>
                <c:pt idx="4">
                  <c:v>-0.39999999999999991</c:v>
                </c:pt>
                <c:pt idx="5">
                  <c:v>0.75999999999999979</c:v>
                </c:pt>
                <c:pt idx="6">
                  <c:v>-0.83999999999999986</c:v>
                </c:pt>
                <c:pt idx="7">
                  <c:v>0.41999999999999993</c:v>
                </c:pt>
                <c:pt idx="8">
                  <c:v>0.16457999999999995</c:v>
                </c:pt>
                <c:pt idx="9">
                  <c:v>0.15542000000000034</c:v>
                </c:pt>
                <c:pt idx="10">
                  <c:v>1.0800000000000005</c:v>
                </c:pt>
                <c:pt idx="11">
                  <c:v>0.16999999999999993</c:v>
                </c:pt>
                <c:pt idx="12">
                  <c:v>0.16000000000000014</c:v>
                </c:pt>
                <c:pt idx="13">
                  <c:v>0.26000000000000023</c:v>
                </c:pt>
                <c:pt idx="14">
                  <c:v>2.0000000000000018E-2</c:v>
                </c:pt>
                <c:pt idx="15">
                  <c:v>0.30500000000000016</c:v>
                </c:pt>
                <c:pt idx="16">
                  <c:v>-0.55499999999999972</c:v>
                </c:pt>
                <c:pt idx="17">
                  <c:v>-0.80999999999999983</c:v>
                </c:pt>
                <c:pt idx="18">
                  <c:v>-0.55999999999999983</c:v>
                </c:pt>
                <c:pt idx="19">
                  <c:v>1.5000000000000124E-2</c:v>
                </c:pt>
                <c:pt idx="20">
                  <c:v>-0.19999999999999996</c:v>
                </c:pt>
                <c:pt idx="21">
                  <c:v>-2.9999999999999805E-2</c:v>
                </c:pt>
                <c:pt idx="22">
                  <c:v>-0.60999999999999988</c:v>
                </c:pt>
                <c:pt idx="23">
                  <c:v>0.22958000000000012</c:v>
                </c:pt>
                <c:pt idx="24">
                  <c:v>-0.23457999999999934</c:v>
                </c:pt>
                <c:pt idx="25">
                  <c:v>-0.97499999999999987</c:v>
                </c:pt>
                <c:pt idx="26">
                  <c:v>0.66500000000000048</c:v>
                </c:pt>
                <c:pt idx="27">
                  <c:v>-0.82999999999999985</c:v>
                </c:pt>
                <c:pt idx="28">
                  <c:v>-7.4999999999999734E-2</c:v>
                </c:pt>
                <c:pt idx="29">
                  <c:v>0.16500000000000004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7-7D47-B356-37F7D91B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157616"/>
        <c:axId val="74025824"/>
      </c:scatterChart>
      <c:valAx>
        <c:axId val="67915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025824"/>
        <c:crosses val="autoZero"/>
        <c:crossBetween val="midCat"/>
      </c:valAx>
      <c:valAx>
        <c:axId val="7402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15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vs. Head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'Q16-Plot'!$E$4:$E$33</c:f>
              <c:numCache>
                <c:formatCode>General</c:formatCode>
                <c:ptCount val="3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0</c:v>
                </c:pt>
                <c:pt idx="9">
                  <c:v>0</c:v>
                </c:pt>
                <c:pt idx="10">
                  <c:v>-1.6819999999999999</c:v>
                </c:pt>
                <c:pt idx="11">
                  <c:v>1.6819999999999999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0</c:v>
                </c:pt>
                <c:pt idx="24">
                  <c:v>0</c:v>
                </c:pt>
                <c:pt idx="25">
                  <c:v>-1.6819999999999999</c:v>
                </c:pt>
                <c:pt idx="26">
                  <c:v>1.6819999999999999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xVal>
          <c:yVal>
            <c:numRef>
              <c:f>'Q16-Plot'!$I$4:$I$33</c:f>
              <c:numCache>
                <c:formatCode>General</c:formatCode>
                <c:ptCount val="30"/>
                <c:pt idx="0">
                  <c:v>1.1550000000000002</c:v>
                </c:pt>
                <c:pt idx="1">
                  <c:v>-0.20999999999999996</c:v>
                </c:pt>
                <c:pt idx="2">
                  <c:v>0.90500000000000025</c:v>
                </c:pt>
                <c:pt idx="3">
                  <c:v>-0.42999999999999972</c:v>
                </c:pt>
                <c:pt idx="4">
                  <c:v>-0.39999999999999991</c:v>
                </c:pt>
                <c:pt idx="5">
                  <c:v>0.75999999999999979</c:v>
                </c:pt>
                <c:pt idx="6">
                  <c:v>-0.83999999999999986</c:v>
                </c:pt>
                <c:pt idx="7">
                  <c:v>0.41999999999999993</c:v>
                </c:pt>
                <c:pt idx="8">
                  <c:v>0.16457999999999995</c:v>
                </c:pt>
                <c:pt idx="9">
                  <c:v>0.15542000000000034</c:v>
                </c:pt>
                <c:pt idx="10">
                  <c:v>1.0800000000000005</c:v>
                </c:pt>
                <c:pt idx="11">
                  <c:v>0.16999999999999993</c:v>
                </c:pt>
                <c:pt idx="12">
                  <c:v>0.16000000000000014</c:v>
                </c:pt>
                <c:pt idx="13">
                  <c:v>0.26000000000000023</c:v>
                </c:pt>
                <c:pt idx="14">
                  <c:v>2.0000000000000018E-2</c:v>
                </c:pt>
                <c:pt idx="15">
                  <c:v>0.30500000000000016</c:v>
                </c:pt>
                <c:pt idx="16">
                  <c:v>-0.55499999999999972</c:v>
                </c:pt>
                <c:pt idx="17">
                  <c:v>-0.80999999999999983</c:v>
                </c:pt>
                <c:pt idx="18">
                  <c:v>-0.55999999999999983</c:v>
                </c:pt>
                <c:pt idx="19">
                  <c:v>1.5000000000000124E-2</c:v>
                </c:pt>
                <c:pt idx="20">
                  <c:v>-0.19999999999999996</c:v>
                </c:pt>
                <c:pt idx="21">
                  <c:v>-2.9999999999999805E-2</c:v>
                </c:pt>
                <c:pt idx="22">
                  <c:v>-0.60999999999999988</c:v>
                </c:pt>
                <c:pt idx="23">
                  <c:v>0.22958000000000012</c:v>
                </c:pt>
                <c:pt idx="24">
                  <c:v>-0.23457999999999934</c:v>
                </c:pt>
                <c:pt idx="25">
                  <c:v>-0.97499999999999987</c:v>
                </c:pt>
                <c:pt idx="26">
                  <c:v>0.66500000000000048</c:v>
                </c:pt>
                <c:pt idx="27">
                  <c:v>-0.82999999999999985</c:v>
                </c:pt>
                <c:pt idx="28">
                  <c:v>-7.4999999999999734E-2</c:v>
                </c:pt>
                <c:pt idx="29">
                  <c:v>0.16500000000000004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1D-BE45-9D5C-6479A547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157616"/>
        <c:axId val="74025824"/>
      </c:scatterChart>
      <c:valAx>
        <c:axId val="67915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025824"/>
        <c:crosses val="autoZero"/>
        <c:crossBetween val="midCat"/>
      </c:valAx>
      <c:valAx>
        <c:axId val="7402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15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vs. Winglet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'Q16-Plot'!$F$4:$F$33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-1</c:v>
                </c:pt>
                <c:pt idx="7">
                  <c:v>-1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-1.6819999999999999</c:v>
                </c:pt>
                <c:pt idx="13">
                  <c:v>1.6819999999999999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-1</c:v>
                </c:pt>
                <c:pt idx="18">
                  <c:v>-1</c:v>
                </c:pt>
                <c:pt idx="19">
                  <c:v>1</c:v>
                </c:pt>
                <c:pt idx="20">
                  <c:v>1</c:v>
                </c:pt>
                <c:pt idx="21">
                  <c:v>-1</c:v>
                </c:pt>
                <c:pt idx="22">
                  <c:v>-1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-1.6819999999999999</c:v>
                </c:pt>
                <c:pt idx="28">
                  <c:v>1.6819999999999999</c:v>
                </c:pt>
                <c:pt idx="29">
                  <c:v>0</c:v>
                </c:pt>
              </c:numCache>
            </c:numRef>
          </c:xVal>
          <c:yVal>
            <c:numRef>
              <c:f>'Q16-Plot'!$I$4:$I$33</c:f>
              <c:numCache>
                <c:formatCode>General</c:formatCode>
                <c:ptCount val="30"/>
                <c:pt idx="0">
                  <c:v>1.1550000000000002</c:v>
                </c:pt>
                <c:pt idx="1">
                  <c:v>-0.20999999999999996</c:v>
                </c:pt>
                <c:pt idx="2">
                  <c:v>0.90500000000000025</c:v>
                </c:pt>
                <c:pt idx="3">
                  <c:v>-0.42999999999999972</c:v>
                </c:pt>
                <c:pt idx="4">
                  <c:v>-0.39999999999999991</c:v>
                </c:pt>
                <c:pt idx="5">
                  <c:v>0.75999999999999979</c:v>
                </c:pt>
                <c:pt idx="6">
                  <c:v>-0.83999999999999986</c:v>
                </c:pt>
                <c:pt idx="7">
                  <c:v>0.41999999999999993</c:v>
                </c:pt>
                <c:pt idx="8">
                  <c:v>0.16457999999999995</c:v>
                </c:pt>
                <c:pt idx="9">
                  <c:v>0.15542000000000034</c:v>
                </c:pt>
                <c:pt idx="10">
                  <c:v>1.0800000000000005</c:v>
                </c:pt>
                <c:pt idx="11">
                  <c:v>0.16999999999999993</c:v>
                </c:pt>
                <c:pt idx="12">
                  <c:v>0.16000000000000014</c:v>
                </c:pt>
                <c:pt idx="13">
                  <c:v>0.26000000000000023</c:v>
                </c:pt>
                <c:pt idx="14">
                  <c:v>2.0000000000000018E-2</c:v>
                </c:pt>
                <c:pt idx="15">
                  <c:v>0.30500000000000016</c:v>
                </c:pt>
                <c:pt idx="16">
                  <c:v>-0.55499999999999972</c:v>
                </c:pt>
                <c:pt idx="17">
                  <c:v>-0.80999999999999983</c:v>
                </c:pt>
                <c:pt idx="18">
                  <c:v>-0.55999999999999983</c:v>
                </c:pt>
                <c:pt idx="19">
                  <c:v>1.5000000000000124E-2</c:v>
                </c:pt>
                <c:pt idx="20">
                  <c:v>-0.19999999999999996</c:v>
                </c:pt>
                <c:pt idx="21">
                  <c:v>-2.9999999999999805E-2</c:v>
                </c:pt>
                <c:pt idx="22">
                  <c:v>-0.60999999999999988</c:v>
                </c:pt>
                <c:pt idx="23">
                  <c:v>0.22958000000000012</c:v>
                </c:pt>
                <c:pt idx="24">
                  <c:v>-0.23457999999999934</c:v>
                </c:pt>
                <c:pt idx="25">
                  <c:v>-0.97499999999999987</c:v>
                </c:pt>
                <c:pt idx="26">
                  <c:v>0.66500000000000048</c:v>
                </c:pt>
                <c:pt idx="27">
                  <c:v>-0.82999999999999985</c:v>
                </c:pt>
                <c:pt idx="28">
                  <c:v>-7.4999999999999734E-2</c:v>
                </c:pt>
                <c:pt idx="29">
                  <c:v>0.16500000000000004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54-C94B-8F6E-2AA97E2EF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157616"/>
        <c:axId val="74025824"/>
      </c:scatterChart>
      <c:valAx>
        <c:axId val="67915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025824"/>
        <c:crosses val="autoZero"/>
        <c:crossBetween val="midCat"/>
      </c:valAx>
      <c:valAx>
        <c:axId val="7402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15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vs. y Predicted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'Q16-Plot'!$H$4:$H$33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1.92</c:v>
                </c:pt>
                <c:pt idx="5">
                  <c:v>1.92</c:v>
                </c:pt>
                <c:pt idx="6">
                  <c:v>1.92</c:v>
                </c:pt>
                <c:pt idx="7">
                  <c:v>1.92</c:v>
                </c:pt>
                <c:pt idx="8">
                  <c:v>1.7904199999999999</c:v>
                </c:pt>
                <c:pt idx="9">
                  <c:v>2.4295799999999996</c:v>
                </c:pt>
                <c:pt idx="10">
                  <c:v>2.11</c:v>
                </c:pt>
                <c:pt idx="11">
                  <c:v>2.11</c:v>
                </c:pt>
                <c:pt idx="12">
                  <c:v>2.11</c:v>
                </c:pt>
                <c:pt idx="13">
                  <c:v>2.11</c:v>
                </c:pt>
                <c:pt idx="14">
                  <c:v>2.11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1.92</c:v>
                </c:pt>
                <c:pt idx="20">
                  <c:v>1.92</c:v>
                </c:pt>
                <c:pt idx="21">
                  <c:v>1.92</c:v>
                </c:pt>
                <c:pt idx="22">
                  <c:v>1.92</c:v>
                </c:pt>
                <c:pt idx="23">
                  <c:v>1.7904199999999999</c:v>
                </c:pt>
                <c:pt idx="24">
                  <c:v>2.4295799999999996</c:v>
                </c:pt>
                <c:pt idx="25">
                  <c:v>2.11</c:v>
                </c:pt>
                <c:pt idx="26">
                  <c:v>2.11</c:v>
                </c:pt>
                <c:pt idx="27">
                  <c:v>2.11</c:v>
                </c:pt>
                <c:pt idx="28">
                  <c:v>2.11</c:v>
                </c:pt>
                <c:pt idx="29">
                  <c:v>2.11</c:v>
                </c:pt>
              </c:numCache>
            </c:numRef>
          </c:xVal>
          <c:yVal>
            <c:numRef>
              <c:f>'Q16-Plot'!$I$4:$I$33</c:f>
              <c:numCache>
                <c:formatCode>General</c:formatCode>
                <c:ptCount val="30"/>
                <c:pt idx="0">
                  <c:v>1.1550000000000002</c:v>
                </c:pt>
                <c:pt idx="1">
                  <c:v>-0.20999999999999996</c:v>
                </c:pt>
                <c:pt idx="2">
                  <c:v>0.90500000000000025</c:v>
                </c:pt>
                <c:pt idx="3">
                  <c:v>-0.42999999999999972</c:v>
                </c:pt>
                <c:pt idx="4">
                  <c:v>-0.39999999999999991</c:v>
                </c:pt>
                <c:pt idx="5">
                  <c:v>0.75999999999999979</c:v>
                </c:pt>
                <c:pt idx="6">
                  <c:v>-0.83999999999999986</c:v>
                </c:pt>
                <c:pt idx="7">
                  <c:v>0.41999999999999993</c:v>
                </c:pt>
                <c:pt idx="8">
                  <c:v>0.16457999999999995</c:v>
                </c:pt>
                <c:pt idx="9">
                  <c:v>0.15542000000000034</c:v>
                </c:pt>
                <c:pt idx="10">
                  <c:v>1.0800000000000005</c:v>
                </c:pt>
                <c:pt idx="11">
                  <c:v>0.16999999999999993</c:v>
                </c:pt>
                <c:pt idx="12">
                  <c:v>0.16000000000000014</c:v>
                </c:pt>
                <c:pt idx="13">
                  <c:v>0.26000000000000023</c:v>
                </c:pt>
                <c:pt idx="14">
                  <c:v>2.0000000000000018E-2</c:v>
                </c:pt>
                <c:pt idx="15">
                  <c:v>0.30500000000000016</c:v>
                </c:pt>
                <c:pt idx="16">
                  <c:v>-0.55499999999999972</c:v>
                </c:pt>
                <c:pt idx="17">
                  <c:v>-0.80999999999999983</c:v>
                </c:pt>
                <c:pt idx="18">
                  <c:v>-0.55999999999999983</c:v>
                </c:pt>
                <c:pt idx="19">
                  <c:v>1.5000000000000124E-2</c:v>
                </c:pt>
                <c:pt idx="20">
                  <c:v>-0.19999999999999996</c:v>
                </c:pt>
                <c:pt idx="21">
                  <c:v>-2.9999999999999805E-2</c:v>
                </c:pt>
                <c:pt idx="22">
                  <c:v>-0.60999999999999988</c:v>
                </c:pt>
                <c:pt idx="23">
                  <c:v>0.22958000000000012</c:v>
                </c:pt>
                <c:pt idx="24">
                  <c:v>-0.23457999999999934</c:v>
                </c:pt>
                <c:pt idx="25">
                  <c:v>-0.97499999999999987</c:v>
                </c:pt>
                <c:pt idx="26">
                  <c:v>0.66500000000000048</c:v>
                </c:pt>
                <c:pt idx="27">
                  <c:v>-0.82999999999999985</c:v>
                </c:pt>
                <c:pt idx="28">
                  <c:v>-7.4999999999999734E-2</c:v>
                </c:pt>
                <c:pt idx="29">
                  <c:v>0.16500000000000004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36-2F4A-8D25-B17803D45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157616"/>
        <c:axId val="74025824"/>
      </c:scatterChart>
      <c:valAx>
        <c:axId val="67915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025824"/>
        <c:crosses val="autoZero"/>
        <c:crossBetween val="midCat"/>
      </c:valAx>
      <c:valAx>
        <c:axId val="7402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15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QQ Plot For Residual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'Q16-Plot'!$K$4:$K$33</c:f>
              <c:numCache>
                <c:formatCode>0.00</c:formatCode>
                <c:ptCount val="30"/>
                <c:pt idx="0">
                  <c:v>-1.2271745349092631</c:v>
                </c:pt>
                <c:pt idx="1">
                  <c:v>-0.95583164937540555</c:v>
                </c:pt>
                <c:pt idx="2">
                  <c:v>-0.80927373241896494</c:v>
                </c:pt>
                <c:pt idx="3">
                  <c:v>-0.70257356385167613</c:v>
                </c:pt>
                <c:pt idx="4">
                  <c:v>-0.61608221285227827</c:v>
                </c:pt>
                <c:pt idx="5">
                  <c:v>-0.54185937591021294</c:v>
                </c:pt>
                <c:pt idx="6">
                  <c:v>-0.47584772691745458</c:v>
                </c:pt>
                <c:pt idx="7">
                  <c:v>-0.41566925817222244</c:v>
                </c:pt>
                <c:pt idx="8">
                  <c:v>-0.35979489786822705</c:v>
                </c:pt>
                <c:pt idx="9">
                  <c:v>-0.30717145474808827</c:v>
                </c:pt>
                <c:pt idx="10">
                  <c:v>-0.25703251352762452</c:v>
                </c:pt>
                <c:pt idx="11">
                  <c:v>-0.20879354209736323</c:v>
                </c:pt>
                <c:pt idx="12">
                  <c:v>-0.16198935298657144</c:v>
                </c:pt>
                <c:pt idx="13">
                  <c:v>-0.11623440247746765</c:v>
                </c:pt>
                <c:pt idx="14">
                  <c:v>-7.1196022855994121E-2</c:v>
                </c:pt>
                <c:pt idx="15">
                  <c:v>-2.6575171078924143E-2</c:v>
                </c:pt>
                <c:pt idx="16">
                  <c:v>1.7908504412257793E-2</c:v>
                </c:pt>
                <c:pt idx="17">
                  <c:v>6.252935618932777E-2</c:v>
                </c:pt>
                <c:pt idx="18">
                  <c:v>0.1075677358108013</c:v>
                </c:pt>
                <c:pt idx="19">
                  <c:v>0.15332268631990512</c:v>
                </c:pt>
                <c:pt idx="20">
                  <c:v>0.2001268754306969</c:v>
                </c:pt>
                <c:pt idx="21">
                  <c:v>0.24836584686095817</c:v>
                </c:pt>
                <c:pt idx="22">
                  <c:v>0.29850478808142189</c:v>
                </c:pt>
                <c:pt idx="23">
                  <c:v>0.35112823120156067</c:v>
                </c:pt>
                <c:pt idx="24">
                  <c:v>0.40700259150555607</c:v>
                </c:pt>
                <c:pt idx="25">
                  <c:v>0.4671810602507882</c:v>
                </c:pt>
                <c:pt idx="26">
                  <c:v>0.53319270924354656</c:v>
                </c:pt>
                <c:pt idx="27">
                  <c:v>0.60741554618561189</c:v>
                </c:pt>
                <c:pt idx="28">
                  <c:v>0.69390689718500975</c:v>
                </c:pt>
                <c:pt idx="29">
                  <c:v>0.80060706575229856</c:v>
                </c:pt>
              </c:numCache>
            </c:numRef>
          </c:xVal>
          <c:yVal>
            <c:numRef>
              <c:f>'Q16-Plot'!$J$4:$J$33</c:f>
              <c:numCache>
                <c:formatCode>General</c:formatCode>
                <c:ptCount val="30"/>
                <c:pt idx="0">
                  <c:v>-0.97499999999999987</c:v>
                </c:pt>
                <c:pt idx="1">
                  <c:v>-0.83999999999999986</c:v>
                </c:pt>
                <c:pt idx="2">
                  <c:v>-0.82999999999999985</c:v>
                </c:pt>
                <c:pt idx="3">
                  <c:v>-0.80999999999999983</c:v>
                </c:pt>
                <c:pt idx="4">
                  <c:v>-0.60999999999999988</c:v>
                </c:pt>
                <c:pt idx="5">
                  <c:v>-0.55999999999999983</c:v>
                </c:pt>
                <c:pt idx="6">
                  <c:v>-0.55499999999999972</c:v>
                </c:pt>
                <c:pt idx="7">
                  <c:v>-0.42999999999999972</c:v>
                </c:pt>
                <c:pt idx="8">
                  <c:v>-0.39999999999999991</c:v>
                </c:pt>
                <c:pt idx="9">
                  <c:v>-0.23457999999999934</c:v>
                </c:pt>
                <c:pt idx="10">
                  <c:v>-0.20999999999999996</c:v>
                </c:pt>
                <c:pt idx="11">
                  <c:v>-0.19999999999999996</c:v>
                </c:pt>
                <c:pt idx="12">
                  <c:v>-7.4999999999999734E-2</c:v>
                </c:pt>
                <c:pt idx="13">
                  <c:v>-2.9999999999999805E-2</c:v>
                </c:pt>
                <c:pt idx="14">
                  <c:v>1.5000000000000124E-2</c:v>
                </c:pt>
                <c:pt idx="15">
                  <c:v>2.0000000000000018E-2</c:v>
                </c:pt>
                <c:pt idx="16">
                  <c:v>0.15542000000000034</c:v>
                </c:pt>
                <c:pt idx="17">
                  <c:v>0.16000000000000014</c:v>
                </c:pt>
                <c:pt idx="18">
                  <c:v>0.16457999999999995</c:v>
                </c:pt>
                <c:pt idx="19">
                  <c:v>0.16500000000000004</c:v>
                </c:pt>
                <c:pt idx="20">
                  <c:v>0.16999999999999993</c:v>
                </c:pt>
                <c:pt idx="21">
                  <c:v>0.22958000000000012</c:v>
                </c:pt>
                <c:pt idx="22">
                  <c:v>0.26000000000000023</c:v>
                </c:pt>
                <c:pt idx="23">
                  <c:v>0.30500000000000016</c:v>
                </c:pt>
                <c:pt idx="24">
                  <c:v>0.41999999999999993</c:v>
                </c:pt>
                <c:pt idx="25">
                  <c:v>0.66500000000000048</c:v>
                </c:pt>
                <c:pt idx="26">
                  <c:v>0.75999999999999979</c:v>
                </c:pt>
                <c:pt idx="27">
                  <c:v>0.90500000000000025</c:v>
                </c:pt>
                <c:pt idx="28">
                  <c:v>1.0800000000000005</c:v>
                </c:pt>
                <c:pt idx="29">
                  <c:v>1.1550000000000002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A4-3E48-B5B3-CDEB6645B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157616"/>
        <c:axId val="74025824"/>
      </c:scatterChart>
      <c:valAx>
        <c:axId val="67915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025824"/>
        <c:crosses val="autoZero"/>
        <c:crossBetween val="midCat"/>
      </c:valAx>
      <c:valAx>
        <c:axId val="7402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15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263078</xdr:colOff>
      <xdr:row>15</xdr:row>
      <xdr:rowOff>200741</xdr:rowOff>
    </xdr:from>
    <xdr:to>
      <xdr:col>17</xdr:col>
      <xdr:colOff>701587</xdr:colOff>
      <xdr:row>30</xdr:row>
      <xdr:rowOff>61979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A36D295-E8BA-89C8-0052-1834C3BE9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130520</xdr:colOff>
      <xdr:row>0</xdr:row>
      <xdr:rowOff>130588</xdr:rowOff>
    </xdr:from>
    <xdr:to>
      <xdr:col>23</xdr:col>
      <xdr:colOff>569030</xdr:colOff>
      <xdr:row>14</xdr:row>
      <xdr:rowOff>133015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5FD90C7-FC71-505B-582D-BDE5B3658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145209</xdr:colOff>
      <xdr:row>15</xdr:row>
      <xdr:rowOff>175346</xdr:rowOff>
    </xdr:from>
    <xdr:to>
      <xdr:col>23</xdr:col>
      <xdr:colOff>583719</xdr:colOff>
      <xdr:row>30</xdr:row>
      <xdr:rowOff>29931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22262F7-2271-7506-6670-4FAB1D0E3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144597</xdr:colOff>
      <xdr:row>31</xdr:row>
      <xdr:rowOff>15799</xdr:rowOff>
    </xdr:from>
    <xdr:to>
      <xdr:col>23</xdr:col>
      <xdr:colOff>583107</xdr:colOff>
      <xdr:row>45</xdr:row>
      <xdr:rowOff>75225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BA1591BA-5F24-FAB9-D655-EE0094442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231420</xdr:colOff>
      <xdr:row>30</xdr:row>
      <xdr:rowOff>167004</xdr:rowOff>
    </xdr:from>
    <xdr:to>
      <xdr:col>17</xdr:col>
      <xdr:colOff>669929</xdr:colOff>
      <xdr:row>45</xdr:row>
      <xdr:rowOff>48729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EE041253-61DC-02E7-093D-FCA6C62E4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242758</xdr:colOff>
      <xdr:row>0</xdr:row>
      <xdr:rowOff>128474</xdr:rowOff>
    </xdr:from>
    <xdr:to>
      <xdr:col>17</xdr:col>
      <xdr:colOff>681267</xdr:colOff>
      <xdr:row>14</xdr:row>
      <xdr:rowOff>145063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57621627-AB3A-C0C9-C4F9-9EC044B9E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263078</xdr:colOff>
      <xdr:row>15</xdr:row>
      <xdr:rowOff>200741</xdr:rowOff>
    </xdr:from>
    <xdr:to>
      <xdr:col>17</xdr:col>
      <xdr:colOff>701587</xdr:colOff>
      <xdr:row>30</xdr:row>
      <xdr:rowOff>61979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CCA7373-3BA4-DB4A-A842-698732D417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130520</xdr:colOff>
      <xdr:row>0</xdr:row>
      <xdr:rowOff>130588</xdr:rowOff>
    </xdr:from>
    <xdr:to>
      <xdr:col>23</xdr:col>
      <xdr:colOff>569030</xdr:colOff>
      <xdr:row>14</xdr:row>
      <xdr:rowOff>133015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2D46A24-C42A-0E4D-A1BC-8BD170751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145209</xdr:colOff>
      <xdr:row>15</xdr:row>
      <xdr:rowOff>175346</xdr:rowOff>
    </xdr:from>
    <xdr:to>
      <xdr:col>23</xdr:col>
      <xdr:colOff>583719</xdr:colOff>
      <xdr:row>30</xdr:row>
      <xdr:rowOff>29931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F3CA851-AE06-8249-8AC3-2B8762D81B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144597</xdr:colOff>
      <xdr:row>31</xdr:row>
      <xdr:rowOff>15799</xdr:rowOff>
    </xdr:from>
    <xdr:to>
      <xdr:col>23</xdr:col>
      <xdr:colOff>583107</xdr:colOff>
      <xdr:row>45</xdr:row>
      <xdr:rowOff>75225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FCE81D31-2E1A-5D43-9D6C-7BEC3FA54C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231420</xdr:colOff>
      <xdr:row>30</xdr:row>
      <xdr:rowOff>167004</xdr:rowOff>
    </xdr:from>
    <xdr:to>
      <xdr:col>17</xdr:col>
      <xdr:colOff>669929</xdr:colOff>
      <xdr:row>45</xdr:row>
      <xdr:rowOff>48729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5828F489-2F34-6445-AFBE-0F9581CE3E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242758</xdr:colOff>
      <xdr:row>0</xdr:row>
      <xdr:rowOff>128474</xdr:rowOff>
    </xdr:from>
    <xdr:to>
      <xdr:col>17</xdr:col>
      <xdr:colOff>681267</xdr:colOff>
      <xdr:row>14</xdr:row>
      <xdr:rowOff>145063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D5F652DF-F94F-3346-A0EA-2AADCB1A2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12E3-6192-2C46-B767-75B3045901DF}">
  <sheetPr codeName="工作表1"/>
  <dimension ref="B1:V33"/>
  <sheetViews>
    <sheetView tabSelected="1" zoomScale="106" workbookViewId="0">
      <selection activeCell="F26" sqref="F26"/>
    </sheetView>
  </sheetViews>
  <sheetFormatPr baseColWidth="10" defaultRowHeight="15"/>
  <sheetData>
    <row r="1" spans="2:22" ht="15" customHeight="1">
      <c r="B1" s="103" t="s">
        <v>4</v>
      </c>
      <c r="C1" s="103"/>
      <c r="D1" s="103"/>
      <c r="E1" s="103"/>
      <c r="F1" s="103"/>
      <c r="G1" s="103"/>
      <c r="H1" s="103"/>
      <c r="I1" s="103"/>
      <c r="K1" s="106" t="s">
        <v>68</v>
      </c>
      <c r="L1" s="106"/>
      <c r="M1" s="106"/>
      <c r="N1" s="106"/>
      <c r="P1" s="106" t="s">
        <v>52</v>
      </c>
      <c r="Q1" s="106"/>
      <c r="R1" s="106"/>
      <c r="S1" s="15"/>
      <c r="T1" s="103" t="s">
        <v>33</v>
      </c>
      <c r="U1" s="103"/>
      <c r="V1" s="103"/>
    </row>
    <row r="2" spans="2:22" ht="15" customHeight="1">
      <c r="B2" s="103"/>
      <c r="C2" s="103"/>
      <c r="D2" s="103"/>
      <c r="E2" s="103"/>
      <c r="F2" s="103"/>
      <c r="G2" s="103"/>
      <c r="H2" s="103"/>
      <c r="I2" s="103"/>
      <c r="K2" s="106"/>
      <c r="L2" s="106"/>
      <c r="M2" s="106"/>
      <c r="N2" s="106"/>
      <c r="P2" s="106"/>
      <c r="Q2" s="106"/>
      <c r="R2" s="106"/>
      <c r="S2" s="15"/>
      <c r="T2" s="103"/>
      <c r="U2" s="103"/>
      <c r="V2" s="103"/>
    </row>
    <row r="3" spans="2:22">
      <c r="B3" s="12" t="s">
        <v>7</v>
      </c>
      <c r="C3" s="11" t="s">
        <v>0</v>
      </c>
      <c r="D3" s="11" t="s">
        <v>1</v>
      </c>
      <c r="E3" s="13" t="s">
        <v>2</v>
      </c>
      <c r="F3" s="104" t="s">
        <v>63</v>
      </c>
      <c r="G3" s="105"/>
      <c r="H3" s="104" t="s">
        <v>64</v>
      </c>
      <c r="I3" s="105"/>
      <c r="K3" s="104" t="s">
        <v>63</v>
      </c>
      <c r="L3" s="105"/>
      <c r="M3" s="104" t="s">
        <v>64</v>
      </c>
      <c r="N3" s="105"/>
      <c r="P3" s="12"/>
      <c r="Q3" s="11" t="s">
        <v>25</v>
      </c>
      <c r="R3" s="13" t="s">
        <v>26</v>
      </c>
      <c r="T3" s="32" t="s">
        <v>34</v>
      </c>
      <c r="U3" s="31" t="s">
        <v>37</v>
      </c>
      <c r="V3" s="6">
        <v>8</v>
      </c>
    </row>
    <row r="4" spans="2:22">
      <c r="B4" s="4">
        <v>1</v>
      </c>
      <c r="C4">
        <v>1</v>
      </c>
      <c r="D4">
        <v>1</v>
      </c>
      <c r="E4" s="6">
        <v>1</v>
      </c>
      <c r="F4" s="95">
        <v>5.15</v>
      </c>
      <c r="G4" s="96">
        <v>1.76</v>
      </c>
      <c r="H4" s="95">
        <v>2.78</v>
      </c>
      <c r="I4" s="96">
        <v>2.4300000000000002</v>
      </c>
      <c r="K4" s="14" t="s">
        <v>66</v>
      </c>
      <c r="L4" s="13" t="s">
        <v>67</v>
      </c>
      <c r="M4" s="14" t="s">
        <v>66</v>
      </c>
      <c r="N4" s="13" t="s">
        <v>67</v>
      </c>
      <c r="P4" s="4" t="s">
        <v>0</v>
      </c>
      <c r="Q4">
        <v>16</v>
      </c>
      <c r="R4" s="6">
        <v>32</v>
      </c>
      <c r="T4" s="33" t="s">
        <v>35</v>
      </c>
      <c r="U4" s="34" t="s">
        <v>36</v>
      </c>
      <c r="V4" s="7">
        <v>2</v>
      </c>
    </row>
    <row r="5" spans="2:22">
      <c r="B5" s="4">
        <v>2</v>
      </c>
      <c r="C5">
        <v>1</v>
      </c>
      <c r="D5">
        <v>-1</v>
      </c>
      <c r="E5" s="6">
        <v>1</v>
      </c>
      <c r="F5" s="95">
        <v>2.1</v>
      </c>
      <c r="G5" s="97">
        <v>2.08</v>
      </c>
      <c r="H5" s="95">
        <v>1.91</v>
      </c>
      <c r="I5" s="97">
        <v>1.58</v>
      </c>
      <c r="K5" s="1">
        <v>1</v>
      </c>
      <c r="L5" s="6">
        <v>15</v>
      </c>
      <c r="M5">
        <v>24</v>
      </c>
      <c r="N5" s="10">
        <v>9</v>
      </c>
      <c r="P5" s="4" t="s">
        <v>1</v>
      </c>
      <c r="Q5">
        <v>13</v>
      </c>
      <c r="R5" s="6">
        <v>17</v>
      </c>
    </row>
    <row r="6" spans="2:22">
      <c r="B6" s="4">
        <v>3</v>
      </c>
      <c r="C6">
        <v>1</v>
      </c>
      <c r="D6">
        <v>1</v>
      </c>
      <c r="E6" s="6">
        <v>-1</v>
      </c>
      <c r="F6" s="95">
        <v>2.33</v>
      </c>
      <c r="G6" s="97">
        <v>4.08</v>
      </c>
      <c r="H6" s="95">
        <v>1.55</v>
      </c>
      <c r="I6" s="97">
        <v>1.43</v>
      </c>
      <c r="K6" s="1">
        <v>16</v>
      </c>
      <c r="L6" s="6">
        <v>28</v>
      </c>
      <c r="M6">
        <v>13</v>
      </c>
      <c r="N6" s="6">
        <v>14</v>
      </c>
      <c r="P6" s="5" t="s">
        <v>24</v>
      </c>
      <c r="Q6" s="2">
        <v>7</v>
      </c>
      <c r="R6" s="7">
        <v>13</v>
      </c>
    </row>
    <row r="7" spans="2:22">
      <c r="B7" s="4">
        <v>4</v>
      </c>
      <c r="C7">
        <v>1</v>
      </c>
      <c r="D7">
        <v>-1</v>
      </c>
      <c r="E7" s="6">
        <v>-1</v>
      </c>
      <c r="F7" s="95">
        <v>1.96</v>
      </c>
      <c r="G7" s="97">
        <v>1.78</v>
      </c>
      <c r="H7" s="95">
        <v>1.6</v>
      </c>
      <c r="I7" s="97">
        <v>1.88</v>
      </c>
      <c r="K7" s="1">
        <v>12</v>
      </c>
      <c r="L7" s="6">
        <v>27</v>
      </c>
      <c r="M7">
        <v>32</v>
      </c>
      <c r="N7" s="6">
        <v>6</v>
      </c>
    </row>
    <row r="8" spans="2:22">
      <c r="B8" s="4">
        <v>5</v>
      </c>
      <c r="C8">
        <v>-1</v>
      </c>
      <c r="D8">
        <v>1</v>
      </c>
      <c r="E8" s="6">
        <v>1</v>
      </c>
      <c r="F8" s="95">
        <v>1.83</v>
      </c>
      <c r="G8" s="97">
        <v>1.21</v>
      </c>
      <c r="H8" s="95">
        <v>2.31</v>
      </c>
      <c r="I8" s="97">
        <v>1.56</v>
      </c>
      <c r="K8" s="1">
        <v>23</v>
      </c>
      <c r="L8" s="6">
        <v>8</v>
      </c>
      <c r="M8">
        <v>22</v>
      </c>
      <c r="N8" s="6">
        <v>2</v>
      </c>
    </row>
    <row r="9" spans="2:22">
      <c r="B9" s="4">
        <v>6</v>
      </c>
      <c r="C9">
        <v>-1</v>
      </c>
      <c r="D9">
        <v>-1</v>
      </c>
      <c r="E9" s="6">
        <v>1</v>
      </c>
      <c r="F9" s="95">
        <v>2.58</v>
      </c>
      <c r="G9" s="97">
        <v>2.78</v>
      </c>
      <c r="H9" s="95">
        <v>1.72</v>
      </c>
      <c r="I9" s="97">
        <v>1.72</v>
      </c>
      <c r="K9" s="1">
        <v>5</v>
      </c>
      <c r="L9" s="6">
        <v>20</v>
      </c>
      <c r="M9">
        <v>18</v>
      </c>
      <c r="N9" s="6">
        <v>7</v>
      </c>
    </row>
    <row r="10" spans="2:22">
      <c r="B10" s="4">
        <v>7</v>
      </c>
      <c r="C10">
        <v>-1</v>
      </c>
      <c r="D10">
        <v>1</v>
      </c>
      <c r="E10" s="6">
        <v>-1</v>
      </c>
      <c r="F10" s="95">
        <v>0.91</v>
      </c>
      <c r="G10" s="97">
        <v>1.25</v>
      </c>
      <c r="H10" s="95">
        <v>1.6</v>
      </c>
      <c r="I10" s="97">
        <v>2.1800000000000002</v>
      </c>
      <c r="K10" s="1">
        <v>10</v>
      </c>
      <c r="L10" s="6">
        <v>11</v>
      </c>
      <c r="M10">
        <v>25</v>
      </c>
      <c r="N10" s="6">
        <v>4</v>
      </c>
    </row>
    <row r="11" spans="2:22">
      <c r="B11" s="5">
        <v>8</v>
      </c>
      <c r="C11" s="3">
        <v>-1</v>
      </c>
      <c r="D11" s="3">
        <v>-1</v>
      </c>
      <c r="E11" s="7">
        <v>-1</v>
      </c>
      <c r="F11" s="37">
        <v>2.63</v>
      </c>
      <c r="G11" s="67">
        <v>2.0499999999999998</v>
      </c>
      <c r="H11" s="66">
        <v>1.01</v>
      </c>
      <c r="I11" s="67">
        <v>1.61</v>
      </c>
      <c r="K11" s="1">
        <v>3</v>
      </c>
      <c r="L11" s="6">
        <v>21</v>
      </c>
      <c r="M11">
        <v>19</v>
      </c>
      <c r="N11" s="6">
        <v>29</v>
      </c>
    </row>
    <row r="12" spans="2:22">
      <c r="B12" s="9"/>
      <c r="C12" s="9"/>
      <c r="D12" s="9"/>
      <c r="E12" s="9"/>
      <c r="K12" s="2">
        <v>31</v>
      </c>
      <c r="L12" s="7">
        <v>26</v>
      </c>
      <c r="M12" s="3">
        <v>17</v>
      </c>
      <c r="N12" s="7">
        <v>30</v>
      </c>
    </row>
    <row r="14" spans="2:22">
      <c r="B14" s="106" t="s">
        <v>27</v>
      </c>
      <c r="C14" s="119"/>
      <c r="D14" s="119"/>
      <c r="E14" s="119"/>
      <c r="F14" s="119"/>
      <c r="G14" s="119"/>
    </row>
    <row r="15" spans="2:22" ht="15" customHeight="1">
      <c r="B15" s="119"/>
      <c r="C15" s="119"/>
      <c r="D15" s="119"/>
      <c r="E15" s="119"/>
      <c r="F15" s="119"/>
      <c r="G15" s="119"/>
      <c r="K15" s="106" t="s">
        <v>77</v>
      </c>
      <c r="L15" s="106"/>
      <c r="M15" s="106"/>
      <c r="N15" s="38"/>
    </row>
    <row r="16" spans="2:22" ht="15" customHeight="1">
      <c r="B16" s="120" t="s">
        <v>50</v>
      </c>
      <c r="C16" s="121"/>
      <c r="D16" s="121"/>
      <c r="E16" s="121"/>
      <c r="F16" s="121"/>
      <c r="G16" s="122"/>
      <c r="I16" s="16"/>
      <c r="K16" s="106"/>
      <c r="L16" s="106"/>
      <c r="M16" s="106"/>
      <c r="N16" s="38"/>
    </row>
    <row r="17" spans="2:13">
      <c r="B17" s="110" t="s">
        <v>51</v>
      </c>
      <c r="C17" s="111"/>
      <c r="D17" s="111"/>
      <c r="E17" s="111"/>
      <c r="F17" s="111"/>
      <c r="G17" s="112"/>
      <c r="K17" s="12"/>
      <c r="L17" s="12" t="s">
        <v>78</v>
      </c>
      <c r="M17" s="12" t="s">
        <v>128</v>
      </c>
    </row>
    <row r="18" spans="2:13">
      <c r="B18" s="110" t="s">
        <v>28</v>
      </c>
      <c r="C18" s="111"/>
      <c r="D18" s="111"/>
      <c r="E18" s="111"/>
      <c r="F18" s="111"/>
      <c r="G18" s="112"/>
      <c r="K18" s="108" t="s">
        <v>63</v>
      </c>
      <c r="L18" s="6">
        <f t="shared" ref="L18:L25" si="0">MIN(K5:L5)</f>
        <v>1</v>
      </c>
      <c r="M18" s="4">
        <f t="shared" ref="M18:M33" si="1">RANK(L18, L$18:L$33)</f>
        <v>16</v>
      </c>
    </row>
    <row r="19" spans="2:13">
      <c r="B19" s="110" t="s">
        <v>29</v>
      </c>
      <c r="C19" s="111"/>
      <c r="D19" s="111"/>
      <c r="E19" s="111"/>
      <c r="F19" s="111"/>
      <c r="G19" s="112"/>
      <c r="K19" s="108"/>
      <c r="L19" s="6">
        <f t="shared" si="0"/>
        <v>16</v>
      </c>
      <c r="M19" s="4">
        <f t="shared" si="1"/>
        <v>4</v>
      </c>
    </row>
    <row r="20" spans="2:13">
      <c r="B20" s="123" t="s">
        <v>130</v>
      </c>
      <c r="C20" s="124"/>
      <c r="D20" s="124"/>
      <c r="E20" s="124"/>
      <c r="F20" s="124"/>
      <c r="G20" s="125"/>
      <c r="K20" s="108"/>
      <c r="L20" s="6">
        <f t="shared" si="0"/>
        <v>12</v>
      </c>
      <c r="M20" s="4">
        <f t="shared" si="1"/>
        <v>6</v>
      </c>
    </row>
    <row r="21" spans="2:13">
      <c r="K21" s="108"/>
      <c r="L21" s="6">
        <f t="shared" si="0"/>
        <v>8</v>
      </c>
      <c r="M21" s="4">
        <f t="shared" si="1"/>
        <v>9</v>
      </c>
    </row>
    <row r="22" spans="2:13" ht="15" customHeight="1">
      <c r="K22" s="108"/>
      <c r="L22" s="6">
        <f t="shared" si="0"/>
        <v>5</v>
      </c>
      <c r="M22" s="4">
        <f t="shared" si="1"/>
        <v>12</v>
      </c>
    </row>
    <row r="23" spans="2:13" ht="15" customHeight="1">
      <c r="B23" s="113" t="s">
        <v>65</v>
      </c>
      <c r="C23" s="114"/>
      <c r="D23" s="114"/>
      <c r="E23" s="114"/>
      <c r="F23" s="114"/>
      <c r="G23" s="115"/>
      <c r="K23" s="108"/>
      <c r="L23" s="6">
        <f t="shared" si="0"/>
        <v>10</v>
      </c>
      <c r="M23" s="4">
        <f t="shared" si="1"/>
        <v>7</v>
      </c>
    </row>
    <row r="24" spans="2:13">
      <c r="B24" s="116"/>
      <c r="C24" s="117"/>
      <c r="D24" s="117"/>
      <c r="E24" s="117"/>
      <c r="F24" s="117"/>
      <c r="G24" s="118"/>
      <c r="K24" s="108"/>
      <c r="L24" s="6">
        <f t="shared" si="0"/>
        <v>3</v>
      </c>
      <c r="M24" s="4">
        <f t="shared" si="1"/>
        <v>14</v>
      </c>
    </row>
    <row r="25" spans="2:13">
      <c r="B25" s="12" t="s">
        <v>7</v>
      </c>
      <c r="C25" s="11" t="s">
        <v>0</v>
      </c>
      <c r="D25" s="11" t="s">
        <v>1</v>
      </c>
      <c r="E25" s="13" t="s">
        <v>2</v>
      </c>
      <c r="F25" s="11" t="s">
        <v>63</v>
      </c>
      <c r="G25" s="13" t="s">
        <v>64</v>
      </c>
      <c r="K25" s="109"/>
      <c r="L25" s="5">
        <f t="shared" si="0"/>
        <v>26</v>
      </c>
      <c r="M25" s="5">
        <f t="shared" si="1"/>
        <v>1</v>
      </c>
    </row>
    <row r="26" spans="2:13">
      <c r="B26" s="4">
        <v>1</v>
      </c>
      <c r="C26">
        <v>1</v>
      </c>
      <c r="D26">
        <v>1</v>
      </c>
      <c r="E26" s="6">
        <v>1</v>
      </c>
      <c r="F26">
        <f t="shared" ref="F26:F33" si="2">(F4+G4) / 2</f>
        <v>3.4550000000000001</v>
      </c>
      <c r="G26" s="6">
        <f t="shared" ref="G26:G33" si="3">(H4+I4) / 2</f>
        <v>2.605</v>
      </c>
      <c r="K26" s="107" t="s">
        <v>64</v>
      </c>
      <c r="L26" s="6">
        <f t="shared" ref="L26:L33" si="4">MIN(M5:N5)</f>
        <v>9</v>
      </c>
      <c r="M26" s="4">
        <f t="shared" si="1"/>
        <v>8</v>
      </c>
    </row>
    <row r="27" spans="2:13">
      <c r="B27" s="4">
        <v>2</v>
      </c>
      <c r="C27">
        <v>1</v>
      </c>
      <c r="D27">
        <v>-1</v>
      </c>
      <c r="E27" s="6">
        <v>1</v>
      </c>
      <c r="F27">
        <f t="shared" si="2"/>
        <v>2.09</v>
      </c>
      <c r="G27" s="6">
        <f t="shared" si="3"/>
        <v>1.7450000000000001</v>
      </c>
      <c r="K27" s="108"/>
      <c r="L27" s="6">
        <f t="shared" si="4"/>
        <v>13</v>
      </c>
      <c r="M27" s="4">
        <f t="shared" si="1"/>
        <v>5</v>
      </c>
    </row>
    <row r="28" spans="2:13">
      <c r="B28" s="4">
        <v>3</v>
      </c>
      <c r="C28">
        <v>1</v>
      </c>
      <c r="D28">
        <v>1</v>
      </c>
      <c r="E28" s="6">
        <v>-1</v>
      </c>
      <c r="F28">
        <f t="shared" si="2"/>
        <v>3.2050000000000001</v>
      </c>
      <c r="G28" s="6">
        <f t="shared" si="3"/>
        <v>1.49</v>
      </c>
      <c r="K28" s="108"/>
      <c r="L28" s="6">
        <f t="shared" si="4"/>
        <v>6</v>
      </c>
      <c r="M28" s="4">
        <f t="shared" si="1"/>
        <v>11</v>
      </c>
    </row>
    <row r="29" spans="2:13">
      <c r="B29" s="4">
        <v>4</v>
      </c>
      <c r="C29">
        <v>1</v>
      </c>
      <c r="D29">
        <v>-1</v>
      </c>
      <c r="E29" s="6">
        <v>-1</v>
      </c>
      <c r="F29">
        <f t="shared" si="2"/>
        <v>1.87</v>
      </c>
      <c r="G29" s="6">
        <f t="shared" si="3"/>
        <v>1.74</v>
      </c>
      <c r="K29" s="108"/>
      <c r="L29" s="6">
        <f t="shared" si="4"/>
        <v>2</v>
      </c>
      <c r="M29" s="4">
        <f t="shared" si="1"/>
        <v>15</v>
      </c>
    </row>
    <row r="30" spans="2:13">
      <c r="B30" s="4">
        <v>5</v>
      </c>
      <c r="C30">
        <v>-1</v>
      </c>
      <c r="D30">
        <v>1</v>
      </c>
      <c r="E30" s="6">
        <v>1</v>
      </c>
      <c r="F30">
        <f t="shared" si="2"/>
        <v>1.52</v>
      </c>
      <c r="G30" s="6">
        <f t="shared" si="3"/>
        <v>1.9350000000000001</v>
      </c>
      <c r="K30" s="108"/>
      <c r="L30" s="6">
        <f t="shared" si="4"/>
        <v>7</v>
      </c>
      <c r="M30" s="4">
        <f t="shared" si="1"/>
        <v>10</v>
      </c>
    </row>
    <row r="31" spans="2:13">
      <c r="B31" s="4">
        <v>6</v>
      </c>
      <c r="C31">
        <v>-1</v>
      </c>
      <c r="D31">
        <v>-1</v>
      </c>
      <c r="E31" s="6">
        <v>1</v>
      </c>
      <c r="F31">
        <f t="shared" si="2"/>
        <v>2.6799999999999997</v>
      </c>
      <c r="G31" s="6">
        <f t="shared" si="3"/>
        <v>1.72</v>
      </c>
      <c r="K31" s="108"/>
      <c r="L31" s="6">
        <f t="shared" si="4"/>
        <v>4</v>
      </c>
      <c r="M31" s="4">
        <f t="shared" si="1"/>
        <v>13</v>
      </c>
    </row>
    <row r="32" spans="2:13">
      <c r="B32" s="4">
        <v>7</v>
      </c>
      <c r="C32">
        <v>-1</v>
      </c>
      <c r="D32">
        <v>1</v>
      </c>
      <c r="E32" s="6">
        <v>-1</v>
      </c>
      <c r="F32">
        <f t="shared" si="2"/>
        <v>1.08</v>
      </c>
      <c r="G32" s="6">
        <f t="shared" si="3"/>
        <v>1.8900000000000001</v>
      </c>
      <c r="K32" s="108"/>
      <c r="L32" s="6">
        <f t="shared" si="4"/>
        <v>19</v>
      </c>
      <c r="M32" s="4">
        <f t="shared" si="1"/>
        <v>2</v>
      </c>
    </row>
    <row r="33" spans="2:13">
      <c r="B33" s="5">
        <v>8</v>
      </c>
      <c r="C33" s="3">
        <v>-1</v>
      </c>
      <c r="D33" s="3">
        <v>-1</v>
      </c>
      <c r="E33" s="7">
        <v>-1</v>
      </c>
      <c r="F33" s="3">
        <f t="shared" si="2"/>
        <v>2.34</v>
      </c>
      <c r="G33" s="7">
        <f t="shared" si="3"/>
        <v>1.31</v>
      </c>
      <c r="K33" s="109"/>
      <c r="L33" s="5">
        <f t="shared" si="4"/>
        <v>17</v>
      </c>
      <c r="M33" s="5">
        <f t="shared" si="1"/>
        <v>3</v>
      </c>
    </row>
  </sheetData>
  <mergeCells count="18">
    <mergeCell ref="K26:K33"/>
    <mergeCell ref="K15:M16"/>
    <mergeCell ref="B19:G19"/>
    <mergeCell ref="B23:G24"/>
    <mergeCell ref="P1:R2"/>
    <mergeCell ref="B14:G15"/>
    <mergeCell ref="K18:K25"/>
    <mergeCell ref="B16:G16"/>
    <mergeCell ref="B17:G17"/>
    <mergeCell ref="B18:G18"/>
    <mergeCell ref="B20:G20"/>
    <mergeCell ref="T1:V2"/>
    <mergeCell ref="F3:G3"/>
    <mergeCell ref="H3:I3"/>
    <mergeCell ref="B1:I2"/>
    <mergeCell ref="K1:N2"/>
    <mergeCell ref="K3:L3"/>
    <mergeCell ref="M3:N3"/>
  </mergeCells>
  <phoneticPr fontId="2" type="noConversion"/>
  <pageMargins left="0.7" right="0.7" top="0.75" bottom="0.75" header="0.3" footer="0.3"/>
  <ignoredErrors>
    <ignoredError sqref="L18:L3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08A7-E8CB-8642-8DBF-DCB985E0B517}">
  <sheetPr codeName="工作表2"/>
  <dimension ref="A1:P80"/>
  <sheetViews>
    <sheetView topLeftCell="B22" workbookViewId="0">
      <selection activeCell="I50" sqref="I50"/>
    </sheetView>
  </sheetViews>
  <sheetFormatPr baseColWidth="10" defaultRowHeight="15"/>
  <cols>
    <col min="3" max="9" width="11.1640625" bestFit="1" customWidth="1"/>
  </cols>
  <sheetData>
    <row r="1" spans="2:13" ht="15" customHeight="1">
      <c r="B1" s="126" t="s">
        <v>4</v>
      </c>
      <c r="C1" s="127"/>
      <c r="D1" s="127"/>
      <c r="E1" s="127"/>
      <c r="F1" s="127"/>
      <c r="G1" s="128"/>
      <c r="I1" s="132" t="s">
        <v>5</v>
      </c>
      <c r="K1" s="103" t="s">
        <v>136</v>
      </c>
      <c r="L1" s="103"/>
    </row>
    <row r="2" spans="2:13" ht="15" customHeight="1">
      <c r="B2" s="129"/>
      <c r="C2" s="130"/>
      <c r="D2" s="130"/>
      <c r="E2" s="130"/>
      <c r="F2" s="130"/>
      <c r="G2" s="131"/>
      <c r="I2" s="133"/>
      <c r="K2" s="103"/>
      <c r="L2" s="103"/>
    </row>
    <row r="3" spans="2:13">
      <c r="B3" s="12" t="s">
        <v>7</v>
      </c>
      <c r="C3" s="11" t="s">
        <v>0</v>
      </c>
      <c r="D3" s="11" t="s">
        <v>1</v>
      </c>
      <c r="E3" s="13" t="s">
        <v>2</v>
      </c>
      <c r="F3" s="11" t="s">
        <v>63</v>
      </c>
      <c r="G3" s="11" t="s">
        <v>64</v>
      </c>
      <c r="H3" s="1"/>
      <c r="I3" s="12" t="s">
        <v>6</v>
      </c>
      <c r="K3" s="12" t="s">
        <v>7</v>
      </c>
      <c r="L3" s="5" t="s">
        <v>135</v>
      </c>
    </row>
    <row r="4" spans="2:13">
      <c r="B4" s="4">
        <v>1</v>
      </c>
      <c r="C4">
        <v>1</v>
      </c>
      <c r="D4">
        <v>1</v>
      </c>
      <c r="E4" s="6">
        <v>1</v>
      </c>
      <c r="F4">
        <f>'Q5-Expt Factorial'!F26</f>
        <v>3.4550000000000001</v>
      </c>
      <c r="G4">
        <f>'Q5-Expt Factorial'!G26</f>
        <v>2.605</v>
      </c>
      <c r="H4" s="1"/>
      <c r="I4" s="29">
        <f>AVERAGE(F4, G4)</f>
        <v>3.0300000000000002</v>
      </c>
      <c r="K4" s="4">
        <v>1</v>
      </c>
      <c r="L4" s="87">
        <f t="shared" ref="L4:L11" si="0">_xlfn.VAR.S(F4:G4)</f>
        <v>0.36124999999999829</v>
      </c>
    </row>
    <row r="5" spans="2:13">
      <c r="B5" s="4">
        <v>2</v>
      </c>
      <c r="C5">
        <v>1</v>
      </c>
      <c r="D5">
        <v>-1</v>
      </c>
      <c r="E5" s="6">
        <v>1</v>
      </c>
      <c r="F5">
        <f>'Q5-Expt Factorial'!F27</f>
        <v>2.09</v>
      </c>
      <c r="G5">
        <f>'Q5-Expt Factorial'!G27</f>
        <v>1.7450000000000001</v>
      </c>
      <c r="H5" s="1"/>
      <c r="I5" s="29">
        <f t="shared" ref="I5:I11" si="1">AVERAGE(F5, G5)</f>
        <v>1.9175</v>
      </c>
      <c r="K5" s="4">
        <v>2</v>
      </c>
      <c r="L5" s="87">
        <f t="shared" si="0"/>
        <v>5.9512499999999913E-2</v>
      </c>
    </row>
    <row r="6" spans="2:13">
      <c r="B6" s="4">
        <v>3</v>
      </c>
      <c r="C6">
        <v>1</v>
      </c>
      <c r="D6">
        <v>1</v>
      </c>
      <c r="E6" s="6">
        <v>-1</v>
      </c>
      <c r="F6">
        <f>'Q5-Expt Factorial'!F28</f>
        <v>3.2050000000000001</v>
      </c>
      <c r="G6">
        <f>'Q5-Expt Factorial'!G28</f>
        <v>1.49</v>
      </c>
      <c r="H6" s="1"/>
      <c r="I6" s="29">
        <f t="shared" si="1"/>
        <v>2.3475000000000001</v>
      </c>
      <c r="K6" s="4">
        <v>3</v>
      </c>
      <c r="L6" s="87">
        <f t="shared" si="0"/>
        <v>1.4706124999999997</v>
      </c>
    </row>
    <row r="7" spans="2:13">
      <c r="B7" s="4">
        <v>4</v>
      </c>
      <c r="C7">
        <v>1</v>
      </c>
      <c r="D7">
        <v>-1</v>
      </c>
      <c r="E7" s="6">
        <v>-1</v>
      </c>
      <c r="F7">
        <f>'Q5-Expt Factorial'!F29</f>
        <v>1.87</v>
      </c>
      <c r="G7">
        <f>'Q5-Expt Factorial'!G29</f>
        <v>1.74</v>
      </c>
      <c r="H7" s="4"/>
      <c r="I7" s="29">
        <f t="shared" si="1"/>
        <v>1.8050000000000002</v>
      </c>
      <c r="K7" s="4">
        <v>4</v>
      </c>
      <c r="L7" s="87">
        <f t="shared" si="0"/>
        <v>8.4500000000000148E-3</v>
      </c>
    </row>
    <row r="8" spans="2:13">
      <c r="B8" s="4">
        <v>5</v>
      </c>
      <c r="C8">
        <v>-1</v>
      </c>
      <c r="D8">
        <v>1</v>
      </c>
      <c r="E8" s="6">
        <v>1</v>
      </c>
      <c r="F8">
        <f>'Q5-Expt Factorial'!F30</f>
        <v>1.52</v>
      </c>
      <c r="G8">
        <f>'Q5-Expt Factorial'!G30</f>
        <v>1.9350000000000001</v>
      </c>
      <c r="H8" s="1"/>
      <c r="I8" s="29">
        <f t="shared" si="1"/>
        <v>1.7275</v>
      </c>
      <c r="K8" s="4">
        <v>5</v>
      </c>
      <c r="L8" s="87">
        <f t="shared" si="0"/>
        <v>8.6112499999999592E-2</v>
      </c>
    </row>
    <row r="9" spans="2:13">
      <c r="B9" s="4">
        <v>6</v>
      </c>
      <c r="C9">
        <v>-1</v>
      </c>
      <c r="D9">
        <v>-1</v>
      </c>
      <c r="E9" s="6">
        <v>1</v>
      </c>
      <c r="F9">
        <f>'Q5-Expt Factorial'!F31</f>
        <v>2.6799999999999997</v>
      </c>
      <c r="G9">
        <f>'Q5-Expt Factorial'!G31</f>
        <v>1.72</v>
      </c>
      <c r="H9" s="1"/>
      <c r="I9" s="29">
        <f t="shared" si="1"/>
        <v>2.1999999999999997</v>
      </c>
      <c r="K9" s="4">
        <v>6</v>
      </c>
      <c r="L9" s="87">
        <f t="shared" si="0"/>
        <v>0.46080000000000076</v>
      </c>
    </row>
    <row r="10" spans="2:13">
      <c r="B10" s="4">
        <v>7</v>
      </c>
      <c r="C10">
        <v>-1</v>
      </c>
      <c r="D10">
        <v>1</v>
      </c>
      <c r="E10" s="6">
        <v>-1</v>
      </c>
      <c r="F10">
        <f>'Q5-Expt Factorial'!F32</f>
        <v>1.08</v>
      </c>
      <c r="G10">
        <f>'Q5-Expt Factorial'!G32</f>
        <v>1.8900000000000001</v>
      </c>
      <c r="H10" s="1"/>
      <c r="I10" s="29">
        <f>AVERAGE(F10, G10)</f>
        <v>1.4850000000000001</v>
      </c>
      <c r="K10" s="4">
        <v>7</v>
      </c>
      <c r="L10" s="87">
        <f t="shared" si="0"/>
        <v>0.32804999999999929</v>
      </c>
    </row>
    <row r="11" spans="2:13">
      <c r="B11" s="5">
        <v>8</v>
      </c>
      <c r="C11" s="3">
        <v>-1</v>
      </c>
      <c r="D11" s="3">
        <v>-1</v>
      </c>
      <c r="E11" s="7">
        <v>-1</v>
      </c>
      <c r="F11" s="2">
        <f>'Q5-Expt Factorial'!F33</f>
        <v>2.34</v>
      </c>
      <c r="G11" s="7">
        <f>'Q5-Expt Factorial'!G33</f>
        <v>1.31</v>
      </c>
      <c r="H11" s="1"/>
      <c r="I11" s="28">
        <f t="shared" si="1"/>
        <v>1.825</v>
      </c>
      <c r="K11" s="5">
        <v>8</v>
      </c>
      <c r="L11" s="88">
        <f t="shared" si="0"/>
        <v>0.5304499999999992</v>
      </c>
    </row>
    <row r="12" spans="2:13">
      <c r="K12" s="12" t="s">
        <v>12</v>
      </c>
      <c r="L12" s="90">
        <f>AVERAGE(L4:L11)</f>
        <v>0.41315468749999962</v>
      </c>
      <c r="M12" t="s">
        <v>42</v>
      </c>
    </row>
    <row r="13" spans="2:13" ht="15" customHeight="1">
      <c r="K13" s="12" t="s">
        <v>13</v>
      </c>
      <c r="L13" s="89">
        <f>L12/4</f>
        <v>0.1032886718749999</v>
      </c>
      <c r="M13" t="s">
        <v>14</v>
      </c>
    </row>
    <row r="14" spans="2:13" ht="15" customHeight="1">
      <c r="B14" s="103" t="s">
        <v>15</v>
      </c>
      <c r="C14" s="103"/>
      <c r="D14" s="103"/>
      <c r="E14" s="103"/>
      <c r="F14" s="103"/>
      <c r="G14" s="103"/>
      <c r="H14" s="103"/>
      <c r="I14" s="103"/>
    </row>
    <row r="15" spans="2:13" ht="15" customHeight="1">
      <c r="B15" s="103"/>
      <c r="C15" s="103"/>
      <c r="D15" s="103"/>
      <c r="E15" s="103"/>
      <c r="F15" s="103"/>
      <c r="G15" s="103"/>
      <c r="H15" s="103"/>
      <c r="I15" s="103"/>
    </row>
    <row r="16" spans="2:13">
      <c r="B16" s="12"/>
      <c r="C16" s="3" t="s">
        <v>0</v>
      </c>
      <c r="D16" s="3" t="s">
        <v>1</v>
      </c>
      <c r="E16" s="13" t="s">
        <v>2</v>
      </c>
      <c r="F16" s="19" t="s">
        <v>8</v>
      </c>
      <c r="G16" s="19" t="s">
        <v>9</v>
      </c>
      <c r="H16" s="18" t="s">
        <v>10</v>
      </c>
      <c r="I16" s="25" t="s">
        <v>16</v>
      </c>
    </row>
    <row r="17" spans="2:16" ht="15" customHeight="1">
      <c r="B17" s="12" t="s">
        <v>3</v>
      </c>
      <c r="C17" s="11">
        <f>SUMPRODUCT(C4:C11, $I4:$I11) / 4</f>
        <v>0.46562499999999979</v>
      </c>
      <c r="D17" s="11">
        <f>SUMPRODUCT(D4:D11, $I4:$I11) / 4</f>
        <v>0.21062500000000012</v>
      </c>
      <c r="E17" s="13">
        <f>SUMPRODUCT(E4:E11, $I4:$I11) / 4</f>
        <v>0.35312499999999974</v>
      </c>
      <c r="F17" s="11" cm="1">
        <f t="array" ref="F17">SUMPRODUCT(C4:C11 * D4:D11, I4:I11) / 4</f>
        <v>0.61687499999999995</v>
      </c>
      <c r="G17" s="11" cm="1">
        <f t="array" ref="G17">SUMPRODUCT(C4:C11 * E4:E11, I4:I11) / 4</f>
        <v>4.4374999999999942E-2</v>
      </c>
      <c r="H17" s="13" cm="1">
        <f t="array" ref="H17">SUMPRODUCT(D4:D11 * E4:E11, I4:I11) / 4</f>
        <v>0.10937500000000011</v>
      </c>
      <c r="I17" s="13" cm="1">
        <f t="array" ref="I17">SUMPRODUCT(C4:C11 * D4:D11 * E4:E11, I4:I11) / 4</f>
        <v>0.17562499999999998</v>
      </c>
    </row>
    <row r="18" spans="2:16">
      <c r="B18" s="8" t="s">
        <v>17</v>
      </c>
      <c r="C18" s="20">
        <f>C17/$L13</f>
        <v>4.5079967778412318</v>
      </c>
      <c r="D18" s="20">
        <f t="shared" ref="D18:I18" si="2">D17/$L13</f>
        <v>2.0391878042046931</v>
      </c>
      <c r="E18" s="22">
        <f t="shared" si="2"/>
        <v>3.4188163482956981</v>
      </c>
      <c r="F18" s="20">
        <f t="shared" si="2"/>
        <v>5.9723393553413384</v>
      </c>
      <c r="G18" s="20">
        <f t="shared" si="2"/>
        <v>0.42962116943184853</v>
      </c>
      <c r="H18" s="22">
        <f t="shared" si="2"/>
        <v>1.0589254176137137</v>
      </c>
      <c r="I18" s="21">
        <f t="shared" si="2"/>
        <v>1.7003316705683038</v>
      </c>
    </row>
    <row r="19" spans="2:16">
      <c r="B19" s="4" t="s">
        <v>131</v>
      </c>
      <c r="C19" s="20">
        <f>_xlfn.T.INV(0.025, 8)</f>
        <v>-2.3060041352041671</v>
      </c>
      <c r="D19" s="20">
        <f t="shared" ref="D19:I19" si="3">_xlfn.T.INV(0.025, 8)</f>
        <v>-2.3060041352041671</v>
      </c>
      <c r="E19" s="22">
        <f t="shared" si="3"/>
        <v>-2.3060041352041671</v>
      </c>
      <c r="F19" s="20">
        <f t="shared" si="3"/>
        <v>-2.3060041352041671</v>
      </c>
      <c r="G19" s="20">
        <f t="shared" si="3"/>
        <v>-2.3060041352041671</v>
      </c>
      <c r="H19" s="22">
        <f t="shared" si="3"/>
        <v>-2.3060041352041671</v>
      </c>
      <c r="I19" s="22">
        <f t="shared" si="3"/>
        <v>-2.3060041352041671</v>
      </c>
    </row>
    <row r="20" spans="2:16">
      <c r="B20" s="5" t="s">
        <v>132</v>
      </c>
      <c r="C20" s="23">
        <f>_xlfn.T.INV(0.975, 8)</f>
        <v>2.3060041352041662</v>
      </c>
      <c r="D20" s="23">
        <f t="shared" ref="D20:I20" si="4">_xlfn.T.INV(0.975, 8)</f>
        <v>2.3060041352041662</v>
      </c>
      <c r="E20" s="24">
        <f t="shared" si="4"/>
        <v>2.3060041352041662</v>
      </c>
      <c r="F20" s="23">
        <f t="shared" si="4"/>
        <v>2.3060041352041662</v>
      </c>
      <c r="G20" s="23">
        <f t="shared" si="4"/>
        <v>2.3060041352041662</v>
      </c>
      <c r="H20" s="24">
        <f t="shared" si="4"/>
        <v>2.3060041352041662</v>
      </c>
      <c r="I20" s="24">
        <f t="shared" si="4"/>
        <v>2.3060041352041662</v>
      </c>
    </row>
    <row r="21" spans="2:16">
      <c r="B21" s="5" t="s">
        <v>72</v>
      </c>
      <c r="C21" s="26" t="b">
        <f>OR(C18&lt;C19, C18&gt;C20)</f>
        <v>1</v>
      </c>
      <c r="D21" s="26" t="b">
        <f t="shared" ref="D21:I21" si="5">OR(D18&lt;D19, D18&gt;D20)</f>
        <v>0</v>
      </c>
      <c r="E21" s="27" t="b">
        <f t="shared" si="5"/>
        <v>1</v>
      </c>
      <c r="F21" s="26" t="b">
        <f t="shared" si="5"/>
        <v>1</v>
      </c>
      <c r="G21" s="26" t="b">
        <f t="shared" si="5"/>
        <v>0</v>
      </c>
      <c r="H21" s="27" t="b">
        <f t="shared" si="5"/>
        <v>0</v>
      </c>
      <c r="I21" s="27" t="b">
        <f t="shared" si="5"/>
        <v>0</v>
      </c>
    </row>
    <row r="24" spans="2:16" ht="15" customHeight="1">
      <c r="B24" s="126" t="s">
        <v>139</v>
      </c>
      <c r="C24" s="127"/>
      <c r="D24" s="127"/>
      <c r="E24" s="127"/>
      <c r="F24" s="128"/>
      <c r="H24" s="103" t="s">
        <v>18</v>
      </c>
      <c r="I24" s="103"/>
      <c r="J24" s="103"/>
      <c r="K24" s="103"/>
      <c r="L24" s="103"/>
      <c r="M24" s="103"/>
      <c r="N24" s="103"/>
      <c r="O24" s="103"/>
      <c r="P24" s="103"/>
    </row>
    <row r="25" spans="2:16" ht="15" customHeight="1">
      <c r="B25" s="129"/>
      <c r="C25" s="130"/>
      <c r="D25" s="130"/>
      <c r="E25" s="130"/>
      <c r="F25" s="131"/>
      <c r="H25" s="103"/>
      <c r="I25" s="103"/>
      <c r="J25" s="103"/>
      <c r="K25" s="103"/>
      <c r="L25" s="103"/>
      <c r="M25" s="103"/>
      <c r="N25" s="103"/>
      <c r="O25" s="103"/>
      <c r="P25" s="103"/>
    </row>
    <row r="26" spans="2:16">
      <c r="B26" s="12"/>
      <c r="C26" s="11" t="s">
        <v>0</v>
      </c>
      <c r="D26" s="13" t="s">
        <v>2</v>
      </c>
      <c r="E26" s="17" t="s">
        <v>8</v>
      </c>
      <c r="F26" s="30" t="s">
        <v>21</v>
      </c>
      <c r="H26" t="s">
        <v>99</v>
      </c>
    </row>
    <row r="27" spans="2:16" ht="16" thickBot="1">
      <c r="B27" s="107" t="s">
        <v>63</v>
      </c>
      <c r="C27">
        <f>1</f>
        <v>1</v>
      </c>
      <c r="D27" s="6">
        <v>1</v>
      </c>
      <c r="E27">
        <v>1</v>
      </c>
      <c r="F27" s="4">
        <f t="shared" ref="F27:F34" si="6">F4</f>
        <v>3.4550000000000001</v>
      </c>
    </row>
    <row r="28" spans="2:16">
      <c r="B28" s="108"/>
      <c r="C28">
        <v>1</v>
      </c>
      <c r="D28" s="6">
        <v>1</v>
      </c>
      <c r="E28">
        <v>-1</v>
      </c>
      <c r="F28" s="4">
        <f t="shared" si="6"/>
        <v>2.09</v>
      </c>
      <c r="H28" s="92" t="s">
        <v>100</v>
      </c>
      <c r="I28" s="92"/>
    </row>
    <row r="29" spans="2:16">
      <c r="B29" s="108"/>
      <c r="C29">
        <v>1</v>
      </c>
      <c r="D29" s="6">
        <v>-1</v>
      </c>
      <c r="E29">
        <v>1</v>
      </c>
      <c r="F29" s="4">
        <f t="shared" si="6"/>
        <v>3.2050000000000001</v>
      </c>
      <c r="G29" s="41"/>
      <c r="H29" s="95" t="s">
        <v>101</v>
      </c>
      <c r="I29" s="95">
        <v>0.66403547955766506</v>
      </c>
    </row>
    <row r="30" spans="2:16">
      <c r="B30" s="108"/>
      <c r="C30">
        <v>1</v>
      </c>
      <c r="D30" s="6">
        <v>-1</v>
      </c>
      <c r="E30">
        <v>-1</v>
      </c>
      <c r="F30" s="4">
        <f t="shared" si="6"/>
        <v>1.87</v>
      </c>
      <c r="G30" s="41"/>
      <c r="H30" s="100" t="s">
        <v>102</v>
      </c>
      <c r="I30" s="100">
        <v>0.44094311811137826</v>
      </c>
    </row>
    <row r="31" spans="2:16" ht="15" customHeight="1">
      <c r="B31" s="108"/>
      <c r="C31">
        <v>-1</v>
      </c>
      <c r="D31" s="6">
        <v>1</v>
      </c>
      <c r="E31">
        <v>-1</v>
      </c>
      <c r="F31" s="4">
        <f t="shared" si="6"/>
        <v>1.52</v>
      </c>
      <c r="G31" s="41"/>
      <c r="H31" s="100" t="s">
        <v>103</v>
      </c>
      <c r="I31" s="100">
        <v>0.30117889763922284</v>
      </c>
    </row>
    <row r="32" spans="2:16" ht="15" customHeight="1">
      <c r="B32" s="108"/>
      <c r="C32">
        <v>-1</v>
      </c>
      <c r="D32" s="6">
        <v>1</v>
      </c>
      <c r="E32">
        <v>1</v>
      </c>
      <c r="F32" s="4">
        <f t="shared" si="6"/>
        <v>2.6799999999999997</v>
      </c>
      <c r="G32" s="41"/>
      <c r="H32" t="s">
        <v>104</v>
      </c>
      <c r="I32">
        <v>0.55240336636072973</v>
      </c>
    </row>
    <row r="33" spans="2:16" ht="16" thickBot="1">
      <c r="B33" s="108"/>
      <c r="C33">
        <v>-1</v>
      </c>
      <c r="D33" s="6">
        <v>-1</v>
      </c>
      <c r="E33">
        <v>-1</v>
      </c>
      <c r="F33" s="4">
        <f t="shared" si="6"/>
        <v>1.08</v>
      </c>
      <c r="G33" s="41"/>
      <c r="H33" s="75" t="s">
        <v>105</v>
      </c>
      <c r="I33" s="75">
        <v>16</v>
      </c>
    </row>
    <row r="34" spans="2:16">
      <c r="B34" s="109"/>
      <c r="C34" s="3">
        <v>-1</v>
      </c>
      <c r="D34" s="7">
        <v>-1</v>
      </c>
      <c r="E34" s="3">
        <v>1</v>
      </c>
      <c r="F34" s="5">
        <f t="shared" si="6"/>
        <v>2.34</v>
      </c>
      <c r="G34" s="41"/>
    </row>
    <row r="35" spans="2:16" ht="16" thickBot="1">
      <c r="B35" s="107" t="s">
        <v>64</v>
      </c>
      <c r="C35" s="9">
        <v>1</v>
      </c>
      <c r="D35" s="10">
        <v>1</v>
      </c>
      <c r="E35" s="9">
        <v>1</v>
      </c>
      <c r="F35" s="8">
        <f t="shared" ref="F35:F42" si="7">G4</f>
        <v>2.605</v>
      </c>
      <c r="G35" s="99"/>
      <c r="H35" t="s">
        <v>106</v>
      </c>
    </row>
    <row r="36" spans="2:16">
      <c r="B36" s="108"/>
      <c r="C36">
        <v>1</v>
      </c>
      <c r="D36" s="6">
        <v>1</v>
      </c>
      <c r="E36">
        <v>-1</v>
      </c>
      <c r="F36" s="4">
        <f t="shared" si="7"/>
        <v>1.7450000000000001</v>
      </c>
      <c r="G36" s="99"/>
      <c r="H36" s="76"/>
      <c r="I36" s="76" t="s">
        <v>111</v>
      </c>
      <c r="J36" s="76" t="s">
        <v>112</v>
      </c>
      <c r="K36" s="76" t="s">
        <v>113</v>
      </c>
      <c r="L36" s="76" t="s">
        <v>114</v>
      </c>
      <c r="M36" s="76" t="s">
        <v>115</v>
      </c>
    </row>
    <row r="37" spans="2:16">
      <c r="B37" s="108"/>
      <c r="C37">
        <v>1</v>
      </c>
      <c r="D37" s="6">
        <v>-1</v>
      </c>
      <c r="E37">
        <v>1</v>
      </c>
      <c r="F37" s="4">
        <f t="shared" si="7"/>
        <v>1.49</v>
      </c>
      <c r="G37" s="99"/>
      <c r="H37" t="s">
        <v>107</v>
      </c>
      <c r="I37">
        <v>3</v>
      </c>
      <c r="J37">
        <v>2.8881546874999997</v>
      </c>
      <c r="K37">
        <v>0.96271822916666661</v>
      </c>
      <c r="L37">
        <v>3.1549070042516734</v>
      </c>
      <c r="M37">
        <v>6.4481338893350337E-2</v>
      </c>
    </row>
    <row r="38" spans="2:16">
      <c r="B38" s="108"/>
      <c r="C38">
        <v>1</v>
      </c>
      <c r="D38" s="6">
        <v>-1</v>
      </c>
      <c r="E38">
        <v>-1</v>
      </c>
      <c r="F38" s="4">
        <f t="shared" si="7"/>
        <v>1.74</v>
      </c>
      <c r="G38" s="99"/>
      <c r="H38" t="s">
        <v>108</v>
      </c>
      <c r="I38">
        <v>12</v>
      </c>
      <c r="J38">
        <v>3.6617937499999997</v>
      </c>
      <c r="K38">
        <v>0.30514947916666663</v>
      </c>
    </row>
    <row r="39" spans="2:16" ht="16" thickBot="1">
      <c r="B39" s="108"/>
      <c r="C39">
        <v>-1</v>
      </c>
      <c r="D39" s="6">
        <v>1</v>
      </c>
      <c r="E39">
        <v>-1</v>
      </c>
      <c r="F39" s="4">
        <f t="shared" si="7"/>
        <v>1.9350000000000001</v>
      </c>
      <c r="G39" s="99"/>
      <c r="H39" s="75" t="s">
        <v>109</v>
      </c>
      <c r="I39" s="75">
        <v>15</v>
      </c>
      <c r="J39" s="75">
        <v>6.5499484374999994</v>
      </c>
      <c r="K39" s="75"/>
      <c r="L39" s="75"/>
      <c r="M39" s="75"/>
    </row>
    <row r="40" spans="2:16" ht="16" thickBot="1">
      <c r="B40" s="108"/>
      <c r="C40">
        <v>-1</v>
      </c>
      <c r="D40" s="6">
        <v>1</v>
      </c>
      <c r="E40">
        <v>1</v>
      </c>
      <c r="F40" s="4">
        <f t="shared" si="7"/>
        <v>1.72</v>
      </c>
      <c r="G40" s="99"/>
    </row>
    <row r="41" spans="2:16">
      <c r="B41" s="108"/>
      <c r="C41">
        <v>-1</v>
      </c>
      <c r="D41" s="6">
        <v>-1</v>
      </c>
      <c r="E41">
        <v>-1</v>
      </c>
      <c r="F41" s="4">
        <f t="shared" si="7"/>
        <v>1.8900000000000001</v>
      </c>
      <c r="G41" s="99"/>
      <c r="H41" s="76"/>
      <c r="I41" s="76" t="s">
        <v>116</v>
      </c>
      <c r="J41" s="76" t="s">
        <v>104</v>
      </c>
      <c r="K41" s="76" t="s">
        <v>117</v>
      </c>
      <c r="L41" s="76" t="s">
        <v>118</v>
      </c>
      <c r="M41" s="76" t="s">
        <v>119</v>
      </c>
      <c r="N41" s="76" t="s">
        <v>120</v>
      </c>
      <c r="O41" s="76" t="s">
        <v>121</v>
      </c>
      <c r="P41" s="76" t="s">
        <v>122</v>
      </c>
    </row>
    <row r="42" spans="2:16">
      <c r="B42" s="109"/>
      <c r="C42" s="3">
        <v>-1</v>
      </c>
      <c r="D42" s="7">
        <v>-1</v>
      </c>
      <c r="E42" s="3">
        <v>1</v>
      </c>
      <c r="F42" s="5">
        <f t="shared" si="7"/>
        <v>1.31</v>
      </c>
      <c r="G42" s="99"/>
      <c r="H42" t="s">
        <v>110</v>
      </c>
      <c r="I42">
        <v>2.0421874999999998</v>
      </c>
      <c r="J42">
        <v>0.13810084159018243</v>
      </c>
      <c r="K42">
        <v>14.787654271219001</v>
      </c>
      <c r="L42">
        <v>4.5741655246657086E-9</v>
      </c>
      <c r="M42">
        <v>1.7412916145554687</v>
      </c>
      <c r="N42">
        <v>2.343083385444531</v>
      </c>
      <c r="O42">
        <v>1.7412916145554687</v>
      </c>
      <c r="P42">
        <v>2.343083385444531</v>
      </c>
    </row>
    <row r="43" spans="2:16">
      <c r="H43" t="s">
        <v>123</v>
      </c>
      <c r="I43">
        <v>0.23281249999999998</v>
      </c>
      <c r="J43">
        <v>0.13810084159018243</v>
      </c>
      <c r="K43">
        <v>1.6858152153111179</v>
      </c>
      <c r="L43" s="101">
        <v>0.11763510773095998</v>
      </c>
      <c r="M43">
        <v>-6.8083385444531075E-2</v>
      </c>
      <c r="N43">
        <v>0.53370838544453103</v>
      </c>
      <c r="O43">
        <v>-6.8083385444531075E-2</v>
      </c>
      <c r="P43">
        <v>0.53370838544453103</v>
      </c>
    </row>
    <row r="44" spans="2:16">
      <c r="H44" t="s">
        <v>125</v>
      </c>
      <c r="I44">
        <v>0.17656249999999998</v>
      </c>
      <c r="J44">
        <v>0.13810084159018243</v>
      </c>
      <c r="K44">
        <v>1.2785041565782302</v>
      </c>
      <c r="L44" s="101">
        <v>0.22524592857993628</v>
      </c>
      <c r="M44">
        <v>-0.12433338544453107</v>
      </c>
      <c r="N44">
        <v>0.47745838544453106</v>
      </c>
      <c r="O44">
        <v>-0.12433338544453107</v>
      </c>
      <c r="P44">
        <v>0.47745838544453106</v>
      </c>
    </row>
    <row r="45" spans="2:16" ht="16" thickBot="1">
      <c r="H45" s="75" t="s">
        <v>126</v>
      </c>
      <c r="I45" s="75">
        <v>0.30843749999999981</v>
      </c>
      <c r="J45" s="75">
        <v>0.13810084159018243</v>
      </c>
      <c r="K45" s="75">
        <v>2.2334223053853322</v>
      </c>
      <c r="L45" s="102">
        <v>4.533073258336083E-2</v>
      </c>
      <c r="M45" s="75">
        <v>7.5416145554687546E-3</v>
      </c>
      <c r="N45" s="75">
        <v>0.60933338544453086</v>
      </c>
      <c r="O45" s="75">
        <v>7.5416145554687546E-3</v>
      </c>
      <c r="P45" s="75">
        <v>0.60933338544453086</v>
      </c>
    </row>
    <row r="52" ht="15" customHeight="1"/>
    <row r="53" ht="15" customHeight="1"/>
    <row r="79" spans="1:10">
      <c r="A79" s="40"/>
      <c r="B79" s="40"/>
      <c r="C79" s="40"/>
      <c r="D79" s="40"/>
      <c r="E79" s="40"/>
      <c r="F79" s="40"/>
      <c r="G79" s="40"/>
      <c r="H79" s="40"/>
      <c r="I79" s="40"/>
      <c r="J79" s="40"/>
    </row>
    <row r="80" spans="1:10">
      <c r="A80" s="40"/>
      <c r="B80" s="40"/>
      <c r="C80" s="40"/>
      <c r="D80" s="40"/>
      <c r="E80" s="40"/>
      <c r="F80" s="40"/>
      <c r="G80" s="40"/>
      <c r="H80" s="40"/>
      <c r="I80" s="40"/>
      <c r="J80" s="40"/>
    </row>
  </sheetData>
  <mergeCells count="8">
    <mergeCell ref="B24:F25"/>
    <mergeCell ref="B27:B34"/>
    <mergeCell ref="B35:B42"/>
    <mergeCell ref="K1:L2"/>
    <mergeCell ref="B14:I15"/>
    <mergeCell ref="B1:G2"/>
    <mergeCell ref="I1:I2"/>
    <mergeCell ref="H24:P2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E8E0-B7DC-844D-AC5F-4D32190DD8DF}">
  <sheetPr codeName="工作表4"/>
  <dimension ref="A1:K44"/>
  <sheetViews>
    <sheetView zoomScale="84" workbookViewId="0">
      <selection activeCell="Z3" sqref="Z3"/>
    </sheetView>
  </sheetViews>
  <sheetFormatPr baseColWidth="10" defaultRowHeight="15"/>
  <cols>
    <col min="6" max="6" width="11.5" bestFit="1" customWidth="1"/>
    <col min="10" max="10" width="11.1640625" bestFit="1" customWidth="1"/>
  </cols>
  <sheetData>
    <row r="1" spans="2:11" ht="16">
      <c r="B1" s="134" t="s">
        <v>136</v>
      </c>
      <c r="C1" s="134"/>
      <c r="E1" s="113" t="s">
        <v>32</v>
      </c>
      <c r="F1" s="114"/>
      <c r="G1" s="114"/>
      <c r="H1" s="114"/>
      <c r="I1" s="115"/>
      <c r="J1" s="38"/>
    </row>
    <row r="2" spans="2:11" ht="15" customHeight="1">
      <c r="B2" s="134"/>
      <c r="C2" s="134"/>
      <c r="E2" s="116"/>
      <c r="F2" s="117"/>
      <c r="G2" s="117"/>
      <c r="H2" s="117"/>
      <c r="I2" s="118"/>
      <c r="J2" s="38"/>
    </row>
    <row r="3" spans="2:11" ht="15" customHeight="1">
      <c r="B3" s="12" t="s">
        <v>7</v>
      </c>
      <c r="C3" s="5" t="s">
        <v>11</v>
      </c>
      <c r="E3" s="35" t="s">
        <v>34</v>
      </c>
      <c r="F3" s="10">
        <f>'Q5-Expt Factorial'!V3</f>
        <v>8</v>
      </c>
      <c r="G3" s="136" t="s">
        <v>47</v>
      </c>
      <c r="H3" s="137"/>
      <c r="I3" s="138"/>
    </row>
    <row r="4" spans="2:11">
      <c r="B4" s="4">
        <v>1</v>
      </c>
      <c r="C4" s="87">
        <f>'Q6-7-T-test&amp;Model'!L4</f>
        <v>0.36124999999999829</v>
      </c>
      <c r="E4" s="1" t="s">
        <v>35</v>
      </c>
      <c r="F4" s="6">
        <f>'Q5-Expt Factorial'!V4</f>
        <v>2</v>
      </c>
      <c r="G4" s="139"/>
      <c r="H4" s="140"/>
      <c r="I4" s="141"/>
    </row>
    <row r="5" spans="2:11">
      <c r="B5" s="4">
        <v>2</v>
      </c>
      <c r="C5" s="87">
        <f>'Q6-7-T-test&amp;Model'!L5</f>
        <v>5.9512499999999913E-2</v>
      </c>
      <c r="E5" s="1" t="s">
        <v>39</v>
      </c>
      <c r="F5" s="6">
        <f>F3*F4</f>
        <v>16</v>
      </c>
      <c r="G5" s="136" t="s">
        <v>48</v>
      </c>
      <c r="H5" s="137"/>
      <c r="I5" s="138"/>
    </row>
    <row r="6" spans="2:11">
      <c r="B6" s="4">
        <v>3</v>
      </c>
      <c r="C6" s="87">
        <f>'Q6-7-T-test&amp;Model'!L6</f>
        <v>1.4706124999999997</v>
      </c>
      <c r="E6" s="2" t="s">
        <v>38</v>
      </c>
      <c r="F6" s="7">
        <v>0.05</v>
      </c>
      <c r="G6" s="139"/>
      <c r="H6" s="140"/>
      <c r="I6" s="141"/>
    </row>
    <row r="7" spans="2:11" ht="16" customHeight="1">
      <c r="B7" s="4">
        <v>4</v>
      </c>
      <c r="C7" s="87">
        <f>'Q6-7-T-test&amp;Model'!L7</f>
        <v>8.4500000000000148E-3</v>
      </c>
      <c r="E7" s="1" t="s">
        <v>40</v>
      </c>
      <c r="F7" s="22" cm="1">
        <f t="array" ref="F7">(F5-F3) * LOG(C12, 2.71828) - SUM(LOG(C4:C11, 2.71828))</f>
        <v>6.1317129312700906</v>
      </c>
      <c r="G7" s="135" t="s">
        <v>44</v>
      </c>
      <c r="H7" s="135"/>
      <c r="I7" s="135"/>
    </row>
    <row r="8" spans="2:11" ht="15" customHeight="1">
      <c r="B8" s="4">
        <v>5</v>
      </c>
      <c r="C8" s="87">
        <f>'Q6-7-T-test&amp;Model'!L8</f>
        <v>8.6112499999999592E-2</v>
      </c>
      <c r="E8" s="2" t="s">
        <v>41</v>
      </c>
      <c r="F8" s="24">
        <f>1 + (F3/(F4-1) - 1/(F5-F3)) / (3*(F3-1))</f>
        <v>1.375</v>
      </c>
      <c r="G8" s="135"/>
      <c r="H8" s="135"/>
      <c r="I8" s="135"/>
    </row>
    <row r="9" spans="2:11" ht="15" customHeight="1">
      <c r="B9" s="4">
        <v>6</v>
      </c>
      <c r="C9" s="87">
        <f>'Q6-7-T-test&amp;Model'!L9</f>
        <v>0.46080000000000076</v>
      </c>
      <c r="E9" s="39" t="s">
        <v>49</v>
      </c>
      <c r="F9" s="22">
        <f>F7/F8</f>
        <v>4.459427586378248</v>
      </c>
      <c r="G9" s="135"/>
      <c r="H9" s="135"/>
      <c r="I9" s="135"/>
    </row>
    <row r="10" spans="2:11" ht="16" customHeight="1">
      <c r="B10" s="4">
        <v>7</v>
      </c>
      <c r="C10" s="87">
        <f>'Q6-7-T-test&amp;Model'!L10</f>
        <v>0.32804999999999929</v>
      </c>
      <c r="E10" s="37" t="s">
        <v>46</v>
      </c>
      <c r="F10" s="24">
        <f>_xlfn.CHISQ.INV.RT(F6, F3-1)</f>
        <v>14.067140449340167</v>
      </c>
      <c r="G10" s="136" t="s">
        <v>45</v>
      </c>
      <c r="H10" s="137"/>
      <c r="I10" s="138"/>
    </row>
    <row r="11" spans="2:11" ht="15" customHeight="1">
      <c r="B11" s="5">
        <v>8</v>
      </c>
      <c r="C11" s="88">
        <f>'Q6-7-T-test&amp;Model'!L11</f>
        <v>0.5304499999999992</v>
      </c>
      <c r="E11" s="14" t="s">
        <v>72</v>
      </c>
      <c r="F11" s="36" t="b">
        <f>F9&gt;F10</f>
        <v>0</v>
      </c>
      <c r="G11" s="139"/>
      <c r="H11" s="140"/>
      <c r="I11" s="141"/>
    </row>
    <row r="12" spans="2:11">
      <c r="B12" s="12" t="s">
        <v>43</v>
      </c>
      <c r="C12" s="89">
        <f>'Q6-7-T-test&amp;Model'!L12</f>
        <v>0.41315468749999962</v>
      </c>
    </row>
    <row r="15" spans="2:11" ht="16" customHeight="1">
      <c r="B15" s="103" t="s">
        <v>73</v>
      </c>
      <c r="C15" s="103"/>
      <c r="D15" s="103"/>
      <c r="E15" s="103"/>
      <c r="F15" s="103"/>
      <c r="G15" s="103"/>
      <c r="H15" s="103"/>
      <c r="I15" s="103"/>
      <c r="J15" s="103"/>
      <c r="K15" s="103"/>
    </row>
    <row r="16" spans="2:11" ht="16" customHeight="1">
      <c r="B16" s="103"/>
      <c r="C16" s="103"/>
      <c r="D16" s="103"/>
      <c r="E16" s="103"/>
      <c r="F16" s="103"/>
      <c r="G16" s="103"/>
      <c r="H16" s="103"/>
      <c r="I16" s="103"/>
      <c r="J16" s="132"/>
      <c r="K16" s="132"/>
    </row>
    <row r="17" spans="2:11">
      <c r="B17" s="5"/>
      <c r="C17" s="65" t="s">
        <v>76</v>
      </c>
      <c r="D17" s="3" t="s">
        <v>0</v>
      </c>
      <c r="E17" s="3" t="s">
        <v>1</v>
      </c>
      <c r="F17" s="7" t="s">
        <v>2</v>
      </c>
      <c r="G17" s="37" t="s">
        <v>21</v>
      </c>
      <c r="H17" s="66" t="s">
        <v>74</v>
      </c>
      <c r="I17" s="67" t="s">
        <v>75</v>
      </c>
      <c r="J17" s="63" t="s">
        <v>80</v>
      </c>
      <c r="K17" s="69" t="s">
        <v>79</v>
      </c>
    </row>
    <row r="18" spans="2:11">
      <c r="B18" s="109" t="s">
        <v>63</v>
      </c>
      <c r="C18" s="4">
        <f>'Q5-Expt Factorial'!M18</f>
        <v>16</v>
      </c>
      <c r="D18">
        <f>1</f>
        <v>1</v>
      </c>
      <c r="E18">
        <v>1</v>
      </c>
      <c r="F18" s="6">
        <v>1</v>
      </c>
      <c r="G18">
        <f>'Q6-7-T-test&amp;Model'!F27</f>
        <v>3.4550000000000001</v>
      </c>
      <c r="H18">
        <f>2.042+0.233*D18+0.177*F18+0.308*D18*E18</f>
        <v>2.76</v>
      </c>
      <c r="I18" s="10">
        <f>G18-H18</f>
        <v>0.69500000000000028</v>
      </c>
      <c r="J18" cm="1">
        <f t="array" ref="J18:J33">_xlfn._xlws.SORT(I18:I33)</f>
        <v>-0.9159999999999997</v>
      </c>
      <c r="K18" s="70">
        <f t="shared" ref="K18:K33" si="0">_xlfn.NORM.INV((ROW(A1) - 0.5) / 16, AVERAGE(I$18:I$33), STDEV(I$18:I$33))</f>
        <v>-0.92016045377639799</v>
      </c>
    </row>
    <row r="19" spans="2:11">
      <c r="B19" s="135"/>
      <c r="C19" s="4">
        <f>'Q5-Expt Factorial'!M19</f>
        <v>4</v>
      </c>
      <c r="D19">
        <v>1</v>
      </c>
      <c r="E19">
        <v>-1</v>
      </c>
      <c r="F19" s="6">
        <v>1</v>
      </c>
      <c r="G19">
        <f>'Q6-7-T-test&amp;Model'!F28</f>
        <v>2.09</v>
      </c>
      <c r="H19">
        <f t="shared" ref="H19:H33" si="1">2.042+0.233*D19+0.177*F19+0.308*D19*E19</f>
        <v>2.1440000000000001</v>
      </c>
      <c r="I19" s="6">
        <f t="shared" ref="I19:I33" si="2">G19-H19</f>
        <v>-5.400000000000027E-2</v>
      </c>
      <c r="J19">
        <v>-0.62999999999999967</v>
      </c>
      <c r="K19" s="70">
        <f t="shared" si="0"/>
        <v>-0.6510219701355755</v>
      </c>
    </row>
    <row r="20" spans="2:11">
      <c r="B20" s="135"/>
      <c r="C20" s="4">
        <f>'Q5-Expt Factorial'!M20</f>
        <v>6</v>
      </c>
      <c r="D20">
        <v>1</v>
      </c>
      <c r="E20">
        <v>1</v>
      </c>
      <c r="F20" s="6">
        <v>-1</v>
      </c>
      <c r="G20">
        <f>'Q6-7-T-test&amp;Model'!F29</f>
        <v>3.2050000000000001</v>
      </c>
      <c r="H20">
        <f t="shared" si="1"/>
        <v>2.4059999999999997</v>
      </c>
      <c r="I20" s="6">
        <f t="shared" si="2"/>
        <v>0.79900000000000038</v>
      </c>
      <c r="J20">
        <v>-0.57399999999999962</v>
      </c>
      <c r="K20" s="70">
        <f t="shared" si="0"/>
        <v>-0.49883353564147398</v>
      </c>
    </row>
    <row r="21" spans="2:11">
      <c r="B21" s="135"/>
      <c r="C21" s="4">
        <f>'Q5-Expt Factorial'!M21</f>
        <v>9</v>
      </c>
      <c r="D21">
        <v>1</v>
      </c>
      <c r="E21">
        <v>-1</v>
      </c>
      <c r="F21" s="6">
        <v>-1</v>
      </c>
      <c r="G21">
        <f>'Q6-7-T-test&amp;Model'!F30</f>
        <v>1.87</v>
      </c>
      <c r="H21">
        <f t="shared" si="1"/>
        <v>1.7899999999999998</v>
      </c>
      <c r="I21" s="6">
        <f t="shared" si="2"/>
        <v>8.0000000000000293E-2</v>
      </c>
      <c r="J21">
        <v>-0.39900000000000002</v>
      </c>
      <c r="K21" s="70">
        <f t="shared" si="0"/>
        <v>-0.38343087881104404</v>
      </c>
    </row>
    <row r="22" spans="2:11">
      <c r="B22" s="135"/>
      <c r="C22" s="4">
        <f>'Q5-Expt Factorial'!M22</f>
        <v>12</v>
      </c>
      <c r="D22">
        <v>-1</v>
      </c>
      <c r="E22">
        <v>1</v>
      </c>
      <c r="F22" s="6">
        <v>1</v>
      </c>
      <c r="G22">
        <f>'Q6-7-T-test&amp;Model'!F31</f>
        <v>1.52</v>
      </c>
      <c r="H22">
        <f t="shared" si="1"/>
        <v>1.6779999999999997</v>
      </c>
      <c r="I22" s="6">
        <f t="shared" si="2"/>
        <v>-0.1579999999999997</v>
      </c>
      <c r="J22">
        <v>-0.24399999999999955</v>
      </c>
      <c r="K22" s="70">
        <f t="shared" si="0"/>
        <v>-0.28595303896859109</v>
      </c>
    </row>
    <row r="23" spans="2:11">
      <c r="B23" s="135"/>
      <c r="C23" s="4">
        <f>'Q5-Expt Factorial'!M23</f>
        <v>7</v>
      </c>
      <c r="D23">
        <v>-1</v>
      </c>
      <c r="E23">
        <v>-1</v>
      </c>
      <c r="F23" s="6">
        <v>1</v>
      </c>
      <c r="G23">
        <f>'Q6-7-T-test&amp;Model'!F32</f>
        <v>2.6799999999999997</v>
      </c>
      <c r="H23">
        <f t="shared" si="1"/>
        <v>2.2939999999999996</v>
      </c>
      <c r="I23" s="6">
        <f t="shared" si="2"/>
        <v>0.38600000000000012</v>
      </c>
      <c r="J23">
        <v>-0.1579999999999997</v>
      </c>
      <c r="K23" s="70">
        <f t="shared" si="0"/>
        <v>-0.19855824059749561</v>
      </c>
    </row>
    <row r="24" spans="2:11">
      <c r="B24" s="135"/>
      <c r="C24" s="4">
        <f>'Q5-Expt Factorial'!M24</f>
        <v>14</v>
      </c>
      <c r="D24">
        <v>-1</v>
      </c>
      <c r="E24">
        <v>1</v>
      </c>
      <c r="F24" s="6">
        <v>-1</v>
      </c>
      <c r="G24">
        <f>'Q6-7-T-test&amp;Model'!F33</f>
        <v>1.08</v>
      </c>
      <c r="H24">
        <f t="shared" si="1"/>
        <v>1.3239999999999996</v>
      </c>
      <c r="I24" s="6">
        <f t="shared" si="2"/>
        <v>-0.24399999999999955</v>
      </c>
      <c r="J24">
        <v>-0.1549999999999998</v>
      </c>
      <c r="K24" s="70">
        <f t="shared" si="0"/>
        <v>-0.11701051425546673</v>
      </c>
    </row>
    <row r="25" spans="2:11">
      <c r="B25" s="135"/>
      <c r="C25" s="5">
        <f>'Q5-Expt Factorial'!M25</f>
        <v>1</v>
      </c>
      <c r="D25" s="3">
        <v>-1</v>
      </c>
      <c r="E25" s="3">
        <v>-1</v>
      </c>
      <c r="F25" s="7">
        <v>-1</v>
      </c>
      <c r="G25" s="2">
        <f>'Q6-7-T-test&amp;Model'!F34</f>
        <v>2.34</v>
      </c>
      <c r="H25" s="3">
        <f t="shared" si="1"/>
        <v>1.9399999999999997</v>
      </c>
      <c r="I25" s="7">
        <f t="shared" si="2"/>
        <v>0.40000000000000013</v>
      </c>
      <c r="J25" s="2">
        <v>-5.400000000000027E-2</v>
      </c>
      <c r="K25" s="71">
        <f t="shared" si="0"/>
        <v>-3.8554900273358284E-2</v>
      </c>
    </row>
    <row r="26" spans="2:11">
      <c r="B26" s="135" t="s">
        <v>64</v>
      </c>
      <c r="C26" s="4">
        <f>'Q5-Expt Factorial'!M26</f>
        <v>8</v>
      </c>
      <c r="D26">
        <v>1</v>
      </c>
      <c r="E26">
        <v>1</v>
      </c>
      <c r="F26" s="6">
        <v>1</v>
      </c>
      <c r="G26">
        <f>'Q6-7-T-test&amp;Model'!F35</f>
        <v>2.605</v>
      </c>
      <c r="H26">
        <f t="shared" si="1"/>
        <v>2.76</v>
      </c>
      <c r="I26" s="6">
        <f t="shared" si="2"/>
        <v>-0.1549999999999998</v>
      </c>
      <c r="J26">
        <v>-4.9999999999999822E-2</v>
      </c>
      <c r="K26" s="70">
        <f t="shared" si="0"/>
        <v>3.892990027335877E-2</v>
      </c>
    </row>
    <row r="27" spans="2:11">
      <c r="B27" s="135"/>
      <c r="C27" s="4">
        <f>'Q5-Expt Factorial'!M27</f>
        <v>5</v>
      </c>
      <c r="D27">
        <v>1</v>
      </c>
      <c r="E27">
        <v>-1</v>
      </c>
      <c r="F27" s="6">
        <v>1</v>
      </c>
      <c r="G27">
        <f>'Q6-7-T-test&amp;Model'!F36</f>
        <v>1.7450000000000001</v>
      </c>
      <c r="H27">
        <f t="shared" si="1"/>
        <v>2.1440000000000001</v>
      </c>
      <c r="I27" s="6">
        <f t="shared" si="2"/>
        <v>-0.39900000000000002</v>
      </c>
      <c r="J27">
        <v>8.0000000000000293E-2</v>
      </c>
      <c r="K27" s="70">
        <f t="shared" si="0"/>
        <v>0.11738551425546721</v>
      </c>
    </row>
    <row r="28" spans="2:11">
      <c r="B28" s="135"/>
      <c r="C28" s="4">
        <f>'Q5-Expt Factorial'!M28</f>
        <v>11</v>
      </c>
      <c r="D28">
        <v>1</v>
      </c>
      <c r="E28">
        <v>1</v>
      </c>
      <c r="F28" s="6">
        <v>-1</v>
      </c>
      <c r="G28">
        <f>'Q6-7-T-test&amp;Model'!F37</f>
        <v>1.49</v>
      </c>
      <c r="H28">
        <f t="shared" si="1"/>
        <v>2.4059999999999997</v>
      </c>
      <c r="I28" s="6">
        <f t="shared" si="2"/>
        <v>-0.9159999999999997</v>
      </c>
      <c r="J28">
        <v>0.25700000000000034</v>
      </c>
      <c r="K28" s="70">
        <f t="shared" si="0"/>
        <v>0.19893324059749606</v>
      </c>
    </row>
    <row r="29" spans="2:11">
      <c r="B29" s="135"/>
      <c r="C29" s="4">
        <f>'Q5-Expt Factorial'!M29</f>
        <v>15</v>
      </c>
      <c r="D29">
        <v>1</v>
      </c>
      <c r="E29">
        <v>-1</v>
      </c>
      <c r="F29" s="6">
        <v>-1</v>
      </c>
      <c r="G29">
        <f>'Q6-7-T-test&amp;Model'!F38</f>
        <v>1.74</v>
      </c>
      <c r="H29">
        <f t="shared" si="1"/>
        <v>1.7899999999999998</v>
      </c>
      <c r="I29" s="6">
        <f t="shared" si="2"/>
        <v>-4.9999999999999822E-2</v>
      </c>
      <c r="J29">
        <v>0.38600000000000012</v>
      </c>
      <c r="K29" s="70">
        <f t="shared" si="0"/>
        <v>0.28632803896859155</v>
      </c>
    </row>
    <row r="30" spans="2:11">
      <c r="B30" s="135"/>
      <c r="C30" s="4">
        <f>'Q5-Expt Factorial'!M30</f>
        <v>10</v>
      </c>
      <c r="D30">
        <v>-1</v>
      </c>
      <c r="E30">
        <v>1</v>
      </c>
      <c r="F30" s="6">
        <v>1</v>
      </c>
      <c r="G30">
        <f>'Q6-7-T-test&amp;Model'!F39</f>
        <v>1.9350000000000001</v>
      </c>
      <c r="H30">
        <f t="shared" si="1"/>
        <v>1.6779999999999997</v>
      </c>
      <c r="I30" s="6">
        <f t="shared" si="2"/>
        <v>0.25700000000000034</v>
      </c>
      <c r="J30">
        <v>0.40000000000000013</v>
      </c>
      <c r="K30" s="70">
        <f t="shared" si="0"/>
        <v>0.3838058788110445</v>
      </c>
    </row>
    <row r="31" spans="2:11">
      <c r="B31" s="135"/>
      <c r="C31" s="4">
        <f>'Q5-Expt Factorial'!M31</f>
        <v>13</v>
      </c>
      <c r="D31">
        <v>-1</v>
      </c>
      <c r="E31">
        <v>-1</v>
      </c>
      <c r="F31" s="6">
        <v>1</v>
      </c>
      <c r="G31">
        <f>'Q6-7-T-test&amp;Model'!F40</f>
        <v>1.72</v>
      </c>
      <c r="H31">
        <f t="shared" si="1"/>
        <v>2.2939999999999996</v>
      </c>
      <c r="I31" s="6">
        <f t="shared" si="2"/>
        <v>-0.57399999999999962</v>
      </c>
      <c r="J31">
        <v>0.5660000000000005</v>
      </c>
      <c r="K31" s="70">
        <f t="shared" si="0"/>
        <v>0.49920853564147444</v>
      </c>
    </row>
    <row r="32" spans="2:11">
      <c r="B32" s="135"/>
      <c r="C32" s="4">
        <f>'Q5-Expt Factorial'!M32</f>
        <v>2</v>
      </c>
      <c r="D32">
        <v>-1</v>
      </c>
      <c r="E32">
        <v>1</v>
      </c>
      <c r="F32" s="6">
        <v>-1</v>
      </c>
      <c r="G32">
        <f>'Q6-7-T-test&amp;Model'!F41</f>
        <v>1.8900000000000001</v>
      </c>
      <c r="H32">
        <f t="shared" si="1"/>
        <v>1.3239999999999996</v>
      </c>
      <c r="I32" s="6">
        <f t="shared" si="2"/>
        <v>0.5660000000000005</v>
      </c>
      <c r="J32">
        <v>0.69500000000000028</v>
      </c>
      <c r="K32" s="70">
        <f t="shared" si="0"/>
        <v>0.65139697013557596</v>
      </c>
    </row>
    <row r="33" spans="1:11">
      <c r="B33" s="135"/>
      <c r="C33" s="5">
        <f>'Q5-Expt Factorial'!M33</f>
        <v>3</v>
      </c>
      <c r="D33" s="3">
        <v>-1</v>
      </c>
      <c r="E33" s="3">
        <v>-1</v>
      </c>
      <c r="F33" s="7">
        <v>-1</v>
      </c>
      <c r="G33" s="2">
        <f>'Q6-7-T-test&amp;Model'!F42</f>
        <v>1.31</v>
      </c>
      <c r="H33" s="3">
        <f t="shared" si="1"/>
        <v>1.9399999999999997</v>
      </c>
      <c r="I33" s="7">
        <f t="shared" si="2"/>
        <v>-0.62999999999999967</v>
      </c>
      <c r="J33" s="2">
        <v>0.79900000000000038</v>
      </c>
      <c r="K33" s="71">
        <f t="shared" si="0"/>
        <v>0.92053545377639845</v>
      </c>
    </row>
    <row r="36" spans="1:11" ht="1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</row>
    <row r="37" spans="1:11" ht="1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</row>
    <row r="38" spans="1:11" ht="1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</row>
    <row r="39" spans="1:11" ht="1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</row>
    <row r="40" spans="1:11" ht="1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</row>
    <row r="41" spans="1:11" ht="1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</row>
    <row r="42" spans="1:11" ht="1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</row>
    <row r="43" spans="1:11" ht="1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</row>
    <row r="44" spans="1:11" ht="1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</row>
  </sheetData>
  <mergeCells count="9">
    <mergeCell ref="B1:C2"/>
    <mergeCell ref="E1:I2"/>
    <mergeCell ref="B18:B25"/>
    <mergeCell ref="B26:B33"/>
    <mergeCell ref="B15:K16"/>
    <mergeCell ref="G3:I4"/>
    <mergeCell ref="G5:I6"/>
    <mergeCell ref="G10:I11"/>
    <mergeCell ref="G7:I9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0A9B-F041-4F44-BBBA-82887072FCC1}">
  <sheetPr codeName="工作表5"/>
  <dimension ref="B2:Q54"/>
  <sheetViews>
    <sheetView topLeftCell="A5" zoomScale="110" workbookViewId="0">
      <selection activeCell="L43" sqref="L43"/>
    </sheetView>
  </sheetViews>
  <sheetFormatPr baseColWidth="10" defaultRowHeight="15"/>
  <cols>
    <col min="3" max="4" width="10.83203125" customWidth="1"/>
  </cols>
  <sheetData>
    <row r="2" spans="2:15" ht="15" customHeight="1">
      <c r="B2" s="126" t="s">
        <v>20</v>
      </c>
      <c r="C2" s="127"/>
      <c r="D2" s="127"/>
      <c r="E2" s="127"/>
      <c r="F2" s="128"/>
      <c r="G2" s="38"/>
      <c r="H2" s="143" t="s">
        <v>22</v>
      </c>
      <c r="I2" s="38"/>
      <c r="J2" s="103" t="s">
        <v>30</v>
      </c>
      <c r="K2" s="103"/>
      <c r="L2" s="103"/>
      <c r="M2" s="103"/>
      <c r="N2" s="103"/>
      <c r="O2" s="103"/>
    </row>
    <row r="3" spans="2:15" ht="15" customHeight="1">
      <c r="B3" s="129"/>
      <c r="C3" s="130"/>
      <c r="D3" s="130"/>
      <c r="E3" s="130"/>
      <c r="F3" s="131"/>
      <c r="G3" s="38"/>
      <c r="H3" s="144"/>
      <c r="I3" s="38"/>
      <c r="J3" s="103"/>
      <c r="K3" s="103"/>
      <c r="L3" s="103"/>
      <c r="M3" s="103"/>
      <c r="N3" s="103"/>
      <c r="O3" s="103"/>
    </row>
    <row r="4" spans="2:15">
      <c r="B4" s="12"/>
      <c r="C4" s="3" t="s">
        <v>0</v>
      </c>
      <c r="D4" s="3" t="s">
        <v>1</v>
      </c>
      <c r="E4" s="7" t="s">
        <v>2</v>
      </c>
      <c r="F4" s="12" t="s">
        <v>21</v>
      </c>
      <c r="H4" s="12" t="s">
        <v>23</v>
      </c>
      <c r="I4" s="41"/>
      <c r="J4" s="142" t="s">
        <v>31</v>
      </c>
      <c r="K4" s="142"/>
      <c r="L4" s="142"/>
      <c r="M4" s="142"/>
      <c r="N4" s="142"/>
      <c r="O4" s="142"/>
    </row>
    <row r="5" spans="2:15">
      <c r="B5" s="135" t="s">
        <v>63</v>
      </c>
      <c r="C5">
        <v>1</v>
      </c>
      <c r="D5">
        <v>1</v>
      </c>
      <c r="E5" s="6">
        <v>1</v>
      </c>
      <c r="F5" s="4">
        <f>'Q5-Expt Factorial'!F26</f>
        <v>3.4550000000000001</v>
      </c>
      <c r="H5" s="29">
        <f>-10*LOG10((1/F5^2+1/F13^2)/2)</f>
        <v>9.3716495726779119</v>
      </c>
      <c r="J5" s="142"/>
      <c r="K5" s="142"/>
      <c r="L5" s="142"/>
      <c r="M5" s="142"/>
      <c r="N5" s="142"/>
      <c r="O5" s="142"/>
    </row>
    <row r="6" spans="2:15">
      <c r="B6" s="135"/>
      <c r="C6">
        <v>1</v>
      </c>
      <c r="D6">
        <v>-1</v>
      </c>
      <c r="E6" s="6">
        <v>1</v>
      </c>
      <c r="F6" s="4">
        <f>'Q5-Expt Factorial'!F27</f>
        <v>2.09</v>
      </c>
      <c r="H6" s="29">
        <f>-10*LOG10((1/F6^2+1/F14^2)/2)</f>
        <v>5.5491210722611353</v>
      </c>
    </row>
    <row r="7" spans="2:15">
      <c r="B7" s="135"/>
      <c r="C7">
        <v>1</v>
      </c>
      <c r="D7">
        <v>1</v>
      </c>
      <c r="E7" s="6">
        <v>-1</v>
      </c>
      <c r="F7" s="4">
        <f>'Q5-Expt Factorial'!F28</f>
        <v>3.2050000000000001</v>
      </c>
      <c r="H7" s="29">
        <f t="shared" ref="H7:H12" si="0">-10*LOG10((1/F7^2+1/F15^2)/2)</f>
        <v>5.6242227893569936</v>
      </c>
    </row>
    <row r="8" spans="2:15">
      <c r="B8" s="135"/>
      <c r="C8">
        <v>1</v>
      </c>
      <c r="D8">
        <v>-1</v>
      </c>
      <c r="E8" s="6">
        <v>-1</v>
      </c>
      <c r="F8" s="4">
        <f>'Q5-Expt Factorial'!F29</f>
        <v>1.87</v>
      </c>
      <c r="H8" s="29">
        <f t="shared" si="0"/>
        <v>5.1126446983763696</v>
      </c>
      <c r="J8" s="7" t="s">
        <v>54</v>
      </c>
      <c r="K8" s="3" t="s">
        <v>25</v>
      </c>
      <c r="L8" s="3" t="s">
        <v>26</v>
      </c>
    </row>
    <row r="9" spans="2:15">
      <c r="B9" s="135"/>
      <c r="C9">
        <v>-1</v>
      </c>
      <c r="D9">
        <v>1</v>
      </c>
      <c r="E9" s="6">
        <v>1</v>
      </c>
      <c r="F9" s="4">
        <f>'Q5-Expt Factorial'!F30</f>
        <v>1.52</v>
      </c>
      <c r="H9" s="29">
        <f t="shared" si="0"/>
        <v>4.5599186046789644</v>
      </c>
      <c r="J9" s="6" t="s">
        <v>0</v>
      </c>
      <c r="K9" s="42">
        <f>AVERAGEIF(C5:C20, -1, F5:F20)</f>
        <v>1.8093750000000002</v>
      </c>
      <c r="L9">
        <f>AVERAGEIF(C5:C20, 1, F5:F20)</f>
        <v>2.2749999999999999</v>
      </c>
    </row>
    <row r="10" spans="2:15">
      <c r="B10" s="135"/>
      <c r="C10">
        <v>-1</v>
      </c>
      <c r="D10">
        <v>-1</v>
      </c>
      <c r="E10" s="6">
        <v>1</v>
      </c>
      <c r="F10" s="4">
        <f>'Q5-Expt Factorial'!F31</f>
        <v>2.6799999999999997</v>
      </c>
      <c r="H10" s="29">
        <f t="shared" si="0"/>
        <v>6.2228426002645012</v>
      </c>
      <c r="J10" s="6" t="s">
        <v>1</v>
      </c>
      <c r="K10" s="42">
        <f>AVERAGEIF(D5:D20, -1, F5:F20)</f>
        <v>1.9368750000000003</v>
      </c>
      <c r="L10">
        <f>AVERAGEIF(D5:D20, 1, F5:F20)</f>
        <v>2.1475</v>
      </c>
    </row>
    <row r="11" spans="2:15">
      <c r="B11" s="135"/>
      <c r="C11">
        <v>-1</v>
      </c>
      <c r="D11">
        <v>1</v>
      </c>
      <c r="E11" s="6">
        <v>-1</v>
      </c>
      <c r="F11" s="4">
        <f>'Q5-Expt Factorial'!F32</f>
        <v>1.08</v>
      </c>
      <c r="H11" s="29">
        <f t="shared" si="0"/>
        <v>2.4516023002353875</v>
      </c>
      <c r="J11" s="7" t="s">
        <v>24</v>
      </c>
      <c r="K11" s="43">
        <f>AVERAGEIF(E5:E20, -1, F5:F20)</f>
        <v>1.8656250000000003</v>
      </c>
      <c r="L11" s="3">
        <f>AVERAGEIF(E5:E20, 1, F5:F20)</f>
        <v>2.2187499999999996</v>
      </c>
    </row>
    <row r="12" spans="2:15">
      <c r="B12" s="135"/>
      <c r="C12" s="3">
        <v>-1</v>
      </c>
      <c r="D12" s="3">
        <v>-1</v>
      </c>
      <c r="E12" s="7">
        <v>-1</v>
      </c>
      <c r="F12" s="5">
        <f>'Q5-Expt Factorial'!F33</f>
        <v>2.34</v>
      </c>
      <c r="H12" s="28">
        <f t="shared" si="0"/>
        <v>4.1717273918046818</v>
      </c>
      <c r="J12" s="6" t="s">
        <v>53</v>
      </c>
      <c r="K12" s="42">
        <f>AVERAGE(F5:F20)</f>
        <v>2.0421874999999998</v>
      </c>
    </row>
    <row r="13" spans="2:15">
      <c r="B13" s="135" t="s">
        <v>64</v>
      </c>
      <c r="C13">
        <v>1</v>
      </c>
      <c r="D13">
        <v>1</v>
      </c>
      <c r="E13" s="6">
        <v>1</v>
      </c>
      <c r="F13" s="4">
        <f>'Q5-Expt Factorial'!G26</f>
        <v>2.605</v>
      </c>
    </row>
    <row r="14" spans="2:15" ht="15" customHeight="1">
      <c r="B14" s="135"/>
      <c r="C14">
        <v>1</v>
      </c>
      <c r="D14">
        <v>-1</v>
      </c>
      <c r="E14" s="6">
        <v>1</v>
      </c>
      <c r="F14" s="4">
        <f>'Q5-Expt Factorial'!G27</f>
        <v>1.7450000000000001</v>
      </c>
      <c r="H14" s="113" t="s">
        <v>55</v>
      </c>
      <c r="I14" s="114"/>
      <c r="J14" s="114"/>
      <c r="K14" s="114"/>
      <c r="L14" s="114"/>
      <c r="M14" s="114"/>
      <c r="N14" s="115"/>
    </row>
    <row r="15" spans="2:15" ht="15" customHeight="1">
      <c r="B15" s="135"/>
      <c r="C15">
        <v>1</v>
      </c>
      <c r="D15">
        <v>1</v>
      </c>
      <c r="E15" s="6">
        <v>-1</v>
      </c>
      <c r="F15" s="4">
        <f>'Q5-Expt Factorial'!G28</f>
        <v>1.49</v>
      </c>
      <c r="H15" s="116"/>
      <c r="I15" s="117"/>
      <c r="J15" s="117"/>
      <c r="K15" s="117"/>
      <c r="L15" s="117"/>
      <c r="M15" s="117"/>
      <c r="N15" s="118"/>
    </row>
    <row r="16" spans="2:15">
      <c r="B16" s="135"/>
      <c r="C16">
        <v>1</v>
      </c>
      <c r="D16">
        <v>-1</v>
      </c>
      <c r="E16" s="6">
        <v>-1</v>
      </c>
      <c r="F16" s="4">
        <f>'Q5-Expt Factorial'!G29</f>
        <v>1.74</v>
      </c>
    </row>
    <row r="17" spans="2:17">
      <c r="B17" s="135"/>
      <c r="C17">
        <v>-1</v>
      </c>
      <c r="D17">
        <v>1</v>
      </c>
      <c r="E17" s="6">
        <v>1</v>
      </c>
      <c r="F17" s="4">
        <f>'Q5-Expt Factorial'!G30</f>
        <v>1.9350000000000001</v>
      </c>
      <c r="H17" s="14" t="s">
        <v>133</v>
      </c>
      <c r="I17" s="11" t="s">
        <v>56</v>
      </c>
      <c r="J17" s="11" t="s">
        <v>59</v>
      </c>
      <c r="K17" s="11" t="s">
        <v>60</v>
      </c>
      <c r="L17" s="13" t="s">
        <v>61</v>
      </c>
      <c r="M17" s="12" t="s">
        <v>62</v>
      </c>
      <c r="N17" s="12" t="s">
        <v>19</v>
      </c>
    </row>
    <row r="18" spans="2:17">
      <c r="B18" s="135"/>
      <c r="C18">
        <v>-1</v>
      </c>
      <c r="D18">
        <v>-1</v>
      </c>
      <c r="E18" s="6">
        <v>1</v>
      </c>
      <c r="F18" s="4">
        <f>'Q5-Expt Factorial'!G31</f>
        <v>1.72</v>
      </c>
      <c r="H18" s="1" t="s">
        <v>0</v>
      </c>
      <c r="I18" s="42" cm="1">
        <f t="array" ref="I18">8 * SUMSQ(K9:L9-K$12)</f>
        <v>0.86722656249999897</v>
      </c>
      <c r="J18">
        <v>1</v>
      </c>
      <c r="K18">
        <f>I18/J18</f>
        <v>0.86722656249999897</v>
      </c>
      <c r="L18" s="72">
        <f>K18/K$21</f>
        <v>2.0786493008437774</v>
      </c>
      <c r="M18" s="68">
        <f>_xlfn.F.INV.RT(0.05, J18, J$21)</f>
        <v>4.7472253467225149</v>
      </c>
      <c r="N18" s="46" t="b">
        <f>L18&gt;M18</f>
        <v>0</v>
      </c>
      <c r="O18" s="145" t="s">
        <v>140</v>
      </c>
      <c r="P18" s="146"/>
      <c r="Q18" s="146"/>
    </row>
    <row r="19" spans="2:17">
      <c r="B19" s="135"/>
      <c r="C19">
        <v>-1</v>
      </c>
      <c r="D19">
        <v>1</v>
      </c>
      <c r="E19" s="6">
        <v>-1</v>
      </c>
      <c r="F19" s="4">
        <f>'Q5-Expt Factorial'!G32</f>
        <v>1.8900000000000001</v>
      </c>
      <c r="H19" s="1" t="s">
        <v>1</v>
      </c>
      <c r="I19" s="42" cm="1">
        <f t="array" ref="I19">8 * SUMSQ(K10:L10-K$12)</f>
        <v>0.17745156249999938</v>
      </c>
      <c r="J19">
        <v>1</v>
      </c>
      <c r="K19">
        <f t="shared" ref="K19:K21" si="1">I19/J19</f>
        <v>0.17745156249999938</v>
      </c>
      <c r="L19" s="72">
        <f>K19/K$21</f>
        <v>0.42533241285982865</v>
      </c>
      <c r="M19" s="68">
        <f>_xlfn.F.INV.RT(0.05, J19, J$21)</f>
        <v>4.7472253467225149</v>
      </c>
      <c r="N19" s="46" t="b">
        <f t="shared" ref="N19:N20" si="2">L19&gt;M19</f>
        <v>0</v>
      </c>
    </row>
    <row r="20" spans="2:17">
      <c r="B20" s="135"/>
      <c r="C20" s="3">
        <v>-1</v>
      </c>
      <c r="D20" s="3">
        <v>-1</v>
      </c>
      <c r="E20" s="7">
        <v>-1</v>
      </c>
      <c r="F20" s="5">
        <f>'Q5-Expt Factorial'!G33</f>
        <v>1.31</v>
      </c>
      <c r="H20" s="1" t="s">
        <v>24</v>
      </c>
      <c r="I20" s="42" cm="1">
        <f t="array" ref="I20">8 * SUMSQ(K11:L11-K$12)</f>
        <v>0.49878906249999788</v>
      </c>
      <c r="J20">
        <v>1</v>
      </c>
      <c r="K20">
        <f t="shared" si="1"/>
        <v>0.49878906249999788</v>
      </c>
      <c r="L20" s="72">
        <f>K20/K$21</f>
        <v>1.1955440260562187</v>
      </c>
      <c r="M20" s="73">
        <f>_xlfn.F.INV.RT(0.05, J20, J$21)</f>
        <v>4.7472253467225149</v>
      </c>
      <c r="N20" s="27" t="b">
        <f t="shared" si="2"/>
        <v>0</v>
      </c>
    </row>
    <row r="21" spans="2:17">
      <c r="H21" s="2" t="s">
        <v>58</v>
      </c>
      <c r="I21" s="44">
        <f>I22-I18-I19-I20</f>
        <v>5.0064812500000038</v>
      </c>
      <c r="J21" s="3">
        <v>12</v>
      </c>
      <c r="K21" s="3">
        <f t="shared" si="1"/>
        <v>0.41720677083333363</v>
      </c>
      <c r="L21" s="7"/>
    </row>
    <row r="22" spans="2:17">
      <c r="H22" s="14" t="s">
        <v>57</v>
      </c>
      <c r="I22" s="45" cm="1">
        <f t="array" ref="I22">SUMSQ(F5:F20-K12)</f>
        <v>6.5499484374999994</v>
      </c>
      <c r="J22" s="11">
        <v>15</v>
      </c>
      <c r="K22" s="11"/>
      <c r="L22" s="13"/>
    </row>
    <row r="23" spans="2:17" ht="15" customHeight="1">
      <c r="I23" s="38"/>
    </row>
    <row r="24" spans="2:17" ht="15" customHeight="1">
      <c r="I24" s="38"/>
    </row>
    <row r="25" spans="2:17" ht="15" customHeight="1">
      <c r="B25" s="113" t="s">
        <v>138</v>
      </c>
      <c r="C25" s="114"/>
      <c r="D25" s="115"/>
      <c r="H25" s="103" t="s">
        <v>18</v>
      </c>
      <c r="I25" s="103"/>
      <c r="J25" s="103"/>
      <c r="K25" s="103"/>
      <c r="L25" s="103"/>
      <c r="M25" s="103"/>
      <c r="N25" s="103"/>
      <c r="O25" s="103"/>
      <c r="P25" s="103"/>
    </row>
    <row r="26" spans="2:17" ht="15" customHeight="1">
      <c r="B26" s="116"/>
      <c r="C26" s="117"/>
      <c r="D26" s="118"/>
      <c r="H26" s="103"/>
      <c r="I26" s="103"/>
      <c r="J26" s="103"/>
      <c r="K26" s="103"/>
      <c r="L26" s="103"/>
      <c r="M26" s="103"/>
      <c r="N26" s="103"/>
      <c r="O26" s="103"/>
      <c r="P26" s="103"/>
    </row>
    <row r="27" spans="2:17">
      <c r="B27" s="12"/>
      <c r="C27" s="3" t="s">
        <v>0</v>
      </c>
      <c r="D27" s="12" t="s">
        <v>23</v>
      </c>
      <c r="H27" t="s">
        <v>99</v>
      </c>
    </row>
    <row r="28" spans="2:17" ht="16" thickBot="1">
      <c r="B28" s="107" t="s">
        <v>63</v>
      </c>
      <c r="C28" s="9">
        <v>1</v>
      </c>
      <c r="D28" s="29">
        <f t="shared" ref="D28:D35" si="3">H5</f>
        <v>9.3716495726779119</v>
      </c>
    </row>
    <row r="29" spans="2:17">
      <c r="B29" s="108"/>
      <c r="C29">
        <v>1</v>
      </c>
      <c r="D29" s="29">
        <f t="shared" si="3"/>
        <v>5.5491210722611353</v>
      </c>
      <c r="H29" s="92" t="s">
        <v>100</v>
      </c>
      <c r="I29" s="92"/>
    </row>
    <row r="30" spans="2:17">
      <c r="B30" s="108"/>
      <c r="C30">
        <v>1</v>
      </c>
      <c r="D30" s="29">
        <f t="shared" si="3"/>
        <v>5.6242227893569936</v>
      </c>
      <c r="H30" t="s">
        <v>101</v>
      </c>
      <c r="I30">
        <v>0.55620519662070556</v>
      </c>
    </row>
    <row r="31" spans="2:17">
      <c r="B31" s="108"/>
      <c r="C31">
        <v>1</v>
      </c>
      <c r="D31" s="29">
        <f t="shared" si="3"/>
        <v>5.1126446983763696</v>
      </c>
      <c r="H31" s="101" t="s">
        <v>102</v>
      </c>
      <c r="I31" s="100">
        <v>0.30936422074787773</v>
      </c>
    </row>
    <row r="32" spans="2:17">
      <c r="B32" s="108"/>
      <c r="C32">
        <v>-1</v>
      </c>
      <c r="D32" s="29">
        <f t="shared" si="3"/>
        <v>4.5599186046789644</v>
      </c>
      <c r="H32" s="100" t="s">
        <v>103</v>
      </c>
      <c r="I32" s="100">
        <v>0.19425825753919068</v>
      </c>
    </row>
    <row r="33" spans="2:16">
      <c r="B33" s="108"/>
      <c r="C33">
        <v>-1</v>
      </c>
      <c r="D33" s="29">
        <f t="shared" si="3"/>
        <v>6.2228426002645012</v>
      </c>
      <c r="H33" t="s">
        <v>104</v>
      </c>
      <c r="I33">
        <v>1.77952570682741</v>
      </c>
    </row>
    <row r="34" spans="2:16" ht="16" thickBot="1">
      <c r="B34" s="108"/>
      <c r="C34">
        <v>-1</v>
      </c>
      <c r="D34" s="29">
        <f t="shared" si="3"/>
        <v>2.4516023002353875</v>
      </c>
      <c r="H34" s="75" t="s">
        <v>105</v>
      </c>
      <c r="I34" s="75">
        <v>8</v>
      </c>
    </row>
    <row r="35" spans="2:16">
      <c r="B35" s="109"/>
      <c r="C35" s="3">
        <v>-1</v>
      </c>
      <c r="D35" s="28">
        <f t="shared" si="3"/>
        <v>4.1717273918046818</v>
      </c>
    </row>
    <row r="36" spans="2:16" ht="16" thickBot="1">
      <c r="H36" t="s">
        <v>106</v>
      </c>
    </row>
    <row r="37" spans="2:16">
      <c r="H37" s="76"/>
      <c r="I37" s="76" t="s">
        <v>111</v>
      </c>
      <c r="J37" s="76" t="s">
        <v>112</v>
      </c>
      <c r="K37" s="76" t="s">
        <v>113</v>
      </c>
      <c r="L37" s="76" t="s">
        <v>114</v>
      </c>
      <c r="M37" s="76" t="s">
        <v>115</v>
      </c>
    </row>
    <row r="38" spans="2:16">
      <c r="H38" t="s">
        <v>107</v>
      </c>
      <c r="I38">
        <v>1</v>
      </c>
      <c r="J38">
        <v>8.5110039728505882</v>
      </c>
      <c r="K38">
        <v>8.5110039728505882</v>
      </c>
      <c r="L38">
        <v>2.6876472089200156</v>
      </c>
      <c r="M38">
        <v>0.15224062880439385</v>
      </c>
    </row>
    <row r="39" spans="2:16">
      <c r="H39" t="s">
        <v>108</v>
      </c>
      <c r="I39">
        <v>6</v>
      </c>
      <c r="J39">
        <v>19.000270447557558</v>
      </c>
      <c r="K39">
        <v>3.1667117412595931</v>
      </c>
    </row>
    <row r="40" spans="2:16" ht="16" thickBot="1">
      <c r="H40" s="75" t="s">
        <v>109</v>
      </c>
      <c r="I40" s="75">
        <v>7</v>
      </c>
      <c r="J40" s="75">
        <v>27.511274420408146</v>
      </c>
      <c r="K40" s="75"/>
      <c r="L40" s="75"/>
      <c r="M40" s="75"/>
    </row>
    <row r="41" spans="2:16" ht="16" thickBot="1"/>
    <row r="42" spans="2:16">
      <c r="H42" s="76"/>
      <c r="I42" s="76" t="s">
        <v>116</v>
      </c>
      <c r="J42" s="76" t="s">
        <v>104</v>
      </c>
      <c r="K42" s="76" t="s">
        <v>117</v>
      </c>
      <c r="L42" s="76" t="s">
        <v>118</v>
      </c>
      <c r="M42" s="76" t="s">
        <v>119</v>
      </c>
      <c r="N42" s="76" t="s">
        <v>120</v>
      </c>
      <c r="O42" s="76" t="s">
        <v>121</v>
      </c>
      <c r="P42" s="76" t="s">
        <v>122</v>
      </c>
    </row>
    <row r="43" spans="2:16">
      <c r="H43" t="s">
        <v>110</v>
      </c>
      <c r="I43">
        <v>5.3829661287069923</v>
      </c>
      <c r="J43">
        <v>0.62915734729672279</v>
      </c>
      <c r="K43">
        <v>8.5558344853410428</v>
      </c>
      <c r="L43">
        <v>1.3990435015155868E-4</v>
      </c>
      <c r="M43">
        <v>3.8434735593717098</v>
      </c>
      <c r="N43">
        <v>6.9224586980422744</v>
      </c>
      <c r="O43">
        <v>3.8434735593717098</v>
      </c>
      <c r="P43">
        <v>6.9224586980422744</v>
      </c>
    </row>
    <row r="44" spans="2:16" ht="16" thickBot="1">
      <c r="H44" s="75" t="s">
        <v>123</v>
      </c>
      <c r="I44" s="75">
        <v>1.0314434044611094</v>
      </c>
      <c r="J44" s="75">
        <v>0.62915734729672279</v>
      </c>
      <c r="K44" s="75">
        <v>1.6394045287603718</v>
      </c>
      <c r="L44" s="75">
        <v>0.15224062880439385</v>
      </c>
      <c r="M44" s="75">
        <v>-0.50804916487417318</v>
      </c>
      <c r="N44" s="75">
        <v>2.5709359737963919</v>
      </c>
      <c r="O44" s="75">
        <v>-0.50804916487417318</v>
      </c>
      <c r="P44" s="75">
        <v>2.5709359737963919</v>
      </c>
    </row>
    <row r="46" spans="2:16" ht="15" customHeight="1">
      <c r="G46" s="38"/>
      <c r="H46" s="38"/>
      <c r="I46" s="38"/>
      <c r="J46" s="38"/>
      <c r="K46" s="38"/>
      <c r="L46" s="38"/>
      <c r="M46" s="38"/>
      <c r="N46" s="38"/>
      <c r="O46" s="38"/>
      <c r="P46" s="38"/>
    </row>
    <row r="47" spans="2:16" ht="15" customHeight="1">
      <c r="G47" s="38"/>
      <c r="H47" s="38"/>
      <c r="I47" s="38"/>
      <c r="J47" s="38"/>
      <c r="K47" s="38"/>
      <c r="L47" s="38"/>
      <c r="M47" s="38"/>
      <c r="N47" s="38"/>
      <c r="O47" s="38"/>
      <c r="P47" s="38"/>
    </row>
    <row r="48" spans="2:16" ht="15" customHeight="1">
      <c r="G48" s="38"/>
      <c r="H48" s="38"/>
      <c r="I48" s="38"/>
      <c r="J48" s="38"/>
      <c r="K48" s="38"/>
      <c r="L48" s="38"/>
      <c r="M48" s="38"/>
      <c r="N48" s="38"/>
      <c r="O48" s="38"/>
      <c r="P48" s="38"/>
    </row>
    <row r="49" spans="7:16" ht="15" customHeight="1">
      <c r="G49" s="38"/>
      <c r="H49" s="38"/>
      <c r="I49" s="38"/>
      <c r="J49" s="38"/>
      <c r="K49" s="38"/>
      <c r="L49" s="38"/>
      <c r="M49" s="38"/>
      <c r="N49" s="38"/>
      <c r="O49" s="38"/>
      <c r="P49" s="38"/>
    </row>
    <row r="50" spans="7:16" ht="15" customHeight="1">
      <c r="G50" s="38"/>
      <c r="H50" s="38"/>
      <c r="I50" s="38"/>
      <c r="J50" s="38"/>
      <c r="K50" s="38"/>
      <c r="L50" s="38"/>
      <c r="M50" s="38"/>
      <c r="N50" s="38"/>
      <c r="O50" s="38"/>
      <c r="P50" s="38"/>
    </row>
    <row r="51" spans="7:16" ht="15" customHeight="1">
      <c r="G51" s="38"/>
      <c r="H51" s="38"/>
      <c r="I51" s="38"/>
      <c r="J51" s="38"/>
      <c r="K51" s="38"/>
      <c r="L51" s="38"/>
      <c r="M51" s="38"/>
      <c r="N51" s="38"/>
      <c r="O51" s="38"/>
      <c r="P51" s="38"/>
    </row>
    <row r="52" spans="7:16" ht="15" customHeight="1">
      <c r="G52" s="38"/>
      <c r="H52" s="38"/>
      <c r="I52" s="38"/>
      <c r="J52" s="38"/>
      <c r="K52" s="38"/>
      <c r="L52" s="38"/>
      <c r="M52" s="38"/>
      <c r="N52" s="38"/>
      <c r="O52" s="38"/>
      <c r="P52" s="38"/>
    </row>
    <row r="53" spans="7:16" ht="15" customHeight="1">
      <c r="G53" s="38"/>
      <c r="H53" s="38"/>
      <c r="I53" s="38"/>
      <c r="J53" s="38"/>
      <c r="K53" s="38"/>
      <c r="L53" s="38"/>
      <c r="M53" s="38"/>
      <c r="N53" s="38"/>
      <c r="O53" s="38"/>
      <c r="P53" s="38"/>
    </row>
    <row r="54" spans="7:16" ht="15" customHeight="1">
      <c r="G54" s="38"/>
      <c r="H54" s="38"/>
      <c r="I54" s="38"/>
      <c r="J54" s="38"/>
      <c r="K54" s="38"/>
      <c r="L54" s="38"/>
      <c r="M54" s="38"/>
      <c r="N54" s="38"/>
      <c r="O54" s="38"/>
      <c r="P54" s="38"/>
    </row>
  </sheetData>
  <mergeCells count="11">
    <mergeCell ref="H14:N15"/>
    <mergeCell ref="B28:B35"/>
    <mergeCell ref="J2:O3"/>
    <mergeCell ref="J4:O5"/>
    <mergeCell ref="H2:H3"/>
    <mergeCell ref="B13:B20"/>
    <mergeCell ref="B5:B12"/>
    <mergeCell ref="B2:F3"/>
    <mergeCell ref="H25:P26"/>
    <mergeCell ref="B25:D26"/>
    <mergeCell ref="O18:Q18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54DE-3FAE-7E44-8452-6D72AB29015C}">
  <sheetPr codeName="工作表6"/>
  <dimension ref="B1:K21"/>
  <sheetViews>
    <sheetView zoomScale="108" workbookViewId="0">
      <selection activeCell="H18" sqref="B1:H18"/>
    </sheetView>
  </sheetViews>
  <sheetFormatPr baseColWidth="10" defaultRowHeight="15"/>
  <sheetData>
    <row r="1" spans="2:11">
      <c r="B1" s="113" t="s">
        <v>129</v>
      </c>
      <c r="C1" s="114"/>
      <c r="D1" s="114"/>
      <c r="E1" s="114"/>
      <c r="F1" s="114"/>
      <c r="G1" s="115"/>
    </row>
    <row r="2" spans="2:11" ht="15" customHeight="1">
      <c r="B2" s="116"/>
      <c r="C2" s="117"/>
      <c r="D2" s="117"/>
      <c r="E2" s="117"/>
      <c r="F2" s="117"/>
      <c r="G2" s="118"/>
      <c r="H2" s="38"/>
    </row>
    <row r="3" spans="2:11" ht="15" customHeight="1">
      <c r="B3" s="12" t="s">
        <v>81</v>
      </c>
      <c r="C3" s="11" t="s">
        <v>66</v>
      </c>
      <c r="D3" s="13" t="s">
        <v>67</v>
      </c>
      <c r="E3" s="12" t="s">
        <v>21</v>
      </c>
      <c r="F3" s="14" t="s">
        <v>89</v>
      </c>
      <c r="G3" s="13" t="s">
        <v>22</v>
      </c>
      <c r="H3" s="38"/>
    </row>
    <row r="4" spans="2:11" ht="18" customHeight="1">
      <c r="B4" s="4" t="s">
        <v>63</v>
      </c>
      <c r="C4" s="59">
        <v>1.28</v>
      </c>
      <c r="D4" s="60">
        <v>1</v>
      </c>
      <c r="E4" s="8">
        <f>AVERAGE(C4:D4)</f>
        <v>1.1400000000000001</v>
      </c>
      <c r="F4" s="2">
        <f>AVERAGE(E4:E5)</f>
        <v>1.0475000000000001</v>
      </c>
      <c r="G4" s="7">
        <f>-10*LOG10((1/E4^2+1/E5^2)/2)</f>
        <v>0.30134950986191211</v>
      </c>
    </row>
    <row r="5" spans="2:11">
      <c r="B5" s="5" t="s">
        <v>64</v>
      </c>
      <c r="C5" s="61">
        <v>1.08</v>
      </c>
      <c r="D5" s="62">
        <v>0.83</v>
      </c>
      <c r="E5" s="5">
        <f>AVERAGE(C5:D5)</f>
        <v>0.95500000000000007</v>
      </c>
    </row>
    <row r="7" spans="2:11">
      <c r="B7" s="12"/>
      <c r="C7" s="11" t="s">
        <v>88</v>
      </c>
      <c r="D7" s="12" t="s">
        <v>81</v>
      </c>
    </row>
    <row r="8" spans="2:11">
      <c r="B8" s="4" t="s">
        <v>0</v>
      </c>
      <c r="C8">
        <v>1</v>
      </c>
      <c r="D8" s="6">
        <v>1</v>
      </c>
    </row>
    <row r="9" spans="2:11">
      <c r="B9" s="4" t="s">
        <v>1</v>
      </c>
      <c r="C9">
        <v>1</v>
      </c>
      <c r="D9" s="6">
        <v>1</v>
      </c>
    </row>
    <row r="10" spans="2:11">
      <c r="B10" s="5" t="s">
        <v>24</v>
      </c>
      <c r="C10" s="3">
        <v>1</v>
      </c>
      <c r="D10" s="7">
        <v>1</v>
      </c>
    </row>
    <row r="11" spans="2:11">
      <c r="B11" s="1" t="s">
        <v>21</v>
      </c>
      <c r="C11" s="1">
        <v>3.03</v>
      </c>
      <c r="D11" s="10">
        <f>F4</f>
        <v>1.0475000000000001</v>
      </c>
      <c r="H11" s="98"/>
      <c r="I11" s="98"/>
      <c r="J11" s="98"/>
      <c r="K11" s="98"/>
    </row>
    <row r="12" spans="2:11">
      <c r="B12" s="5" t="s">
        <v>74</v>
      </c>
      <c r="C12" s="3">
        <f>2.042 + 0.233*C8 + 0.177*C10 + 0.308 *C8*C9</f>
        <v>2.76</v>
      </c>
      <c r="D12" s="7">
        <f>2.042 + 0.233*D8 + 0.177*D10 + 0.308 *D8*D9</f>
        <v>2.76</v>
      </c>
      <c r="H12" s="98"/>
      <c r="I12" s="98"/>
      <c r="J12" s="98"/>
      <c r="K12" s="98"/>
    </row>
    <row r="13" spans="2:11">
      <c r="B13" s="4" t="s">
        <v>22</v>
      </c>
      <c r="C13">
        <v>9.3699999999999992</v>
      </c>
      <c r="D13" s="6">
        <f>G4</f>
        <v>0.30134950986191211</v>
      </c>
    </row>
    <row r="14" spans="2:11">
      <c r="B14" s="5" t="s">
        <v>87</v>
      </c>
      <c r="C14" s="3">
        <f>5.383 + 1.031*C8</f>
        <v>6.4139999999999997</v>
      </c>
      <c r="D14" s="7">
        <f>5.383 + 1.031*D8</f>
        <v>6.4139999999999997</v>
      </c>
    </row>
    <row r="16" spans="2:11">
      <c r="B16" s="12" t="s">
        <v>81</v>
      </c>
      <c r="C16" s="11" t="s">
        <v>90</v>
      </c>
      <c r="D16" s="13" t="s">
        <v>83</v>
      </c>
    </row>
    <row r="17" spans="2:4">
      <c r="B17" s="4" t="s">
        <v>21</v>
      </c>
      <c r="C17">
        <f>D11-D12</f>
        <v>-1.7124999999999997</v>
      </c>
      <c r="D17" s="6">
        <f>D11-C11</f>
        <v>-1.9824999999999997</v>
      </c>
    </row>
    <row r="18" spans="2:4">
      <c r="B18" s="5" t="s">
        <v>22</v>
      </c>
      <c r="C18" s="3">
        <f>D13-D14</f>
        <v>-6.1126504901380878</v>
      </c>
      <c r="D18" s="7">
        <f>D13-C13</f>
        <v>-9.0686504901380864</v>
      </c>
    </row>
    <row r="21" spans="2:4" ht="15" customHeight="1"/>
  </sheetData>
  <mergeCells count="1">
    <mergeCell ref="B1:G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1D3-6B1A-6340-8955-F7A4E3F5CC20}">
  <sheetPr codeName="工作表7"/>
  <dimension ref="B1:U53"/>
  <sheetViews>
    <sheetView zoomScale="85" workbookViewId="0">
      <selection activeCell="I18" sqref="B1:I18"/>
    </sheetView>
  </sheetViews>
  <sheetFormatPr baseColWidth="10" defaultRowHeight="15"/>
  <sheetData>
    <row r="1" spans="2:21" ht="16" customHeight="1">
      <c r="B1" s="103" t="s">
        <v>4</v>
      </c>
      <c r="C1" s="103"/>
      <c r="D1" s="103"/>
      <c r="E1" s="103"/>
      <c r="F1" s="103"/>
      <c r="G1" s="103"/>
      <c r="H1" s="103"/>
      <c r="I1" s="103"/>
      <c r="K1" s="149" t="s">
        <v>68</v>
      </c>
      <c r="L1" s="150"/>
      <c r="M1" s="150"/>
      <c r="N1" s="151"/>
      <c r="P1" s="106" t="s">
        <v>52</v>
      </c>
      <c r="Q1" s="106"/>
      <c r="R1" s="106"/>
      <c r="S1" s="106"/>
      <c r="T1" s="106"/>
      <c r="U1" s="106"/>
    </row>
    <row r="2" spans="2:21" ht="15" customHeight="1">
      <c r="B2" s="103"/>
      <c r="C2" s="103"/>
      <c r="D2" s="103"/>
      <c r="E2" s="103"/>
      <c r="F2" s="103"/>
      <c r="G2" s="103"/>
      <c r="H2" s="103"/>
      <c r="I2" s="103"/>
      <c r="K2" s="152"/>
      <c r="L2" s="153"/>
      <c r="M2" s="153"/>
      <c r="N2" s="154"/>
      <c r="P2" s="106"/>
      <c r="Q2" s="106"/>
      <c r="R2" s="106"/>
      <c r="S2" s="106"/>
      <c r="T2" s="106"/>
      <c r="U2" s="106"/>
    </row>
    <row r="3" spans="2:21" ht="15" customHeight="1">
      <c r="B3" s="48" t="s">
        <v>7</v>
      </c>
      <c r="C3" s="49" t="s">
        <v>0</v>
      </c>
      <c r="D3" s="49" t="s">
        <v>1</v>
      </c>
      <c r="E3" s="50" t="s">
        <v>2</v>
      </c>
      <c r="F3" s="147" t="s">
        <v>63</v>
      </c>
      <c r="G3" s="148"/>
      <c r="H3" s="147" t="s">
        <v>64</v>
      </c>
      <c r="I3" s="148"/>
      <c r="K3" s="104" t="s">
        <v>63</v>
      </c>
      <c r="L3" s="105"/>
      <c r="M3" s="104" t="s">
        <v>64</v>
      </c>
      <c r="N3" s="105"/>
      <c r="P3" s="12"/>
      <c r="Q3" s="11" t="s">
        <v>69</v>
      </c>
      <c r="R3" s="11" t="s">
        <v>25</v>
      </c>
      <c r="S3" s="11" t="s">
        <v>70</v>
      </c>
      <c r="T3" s="11" t="s">
        <v>26</v>
      </c>
      <c r="U3" s="13" t="s">
        <v>71</v>
      </c>
    </row>
    <row r="4" spans="2:21">
      <c r="B4" s="51">
        <v>1</v>
      </c>
      <c r="C4" s="52">
        <v>1</v>
      </c>
      <c r="D4" s="52">
        <v>1</v>
      </c>
      <c r="E4" s="53">
        <v>1</v>
      </c>
      <c r="F4" s="52">
        <f>'Q5-Expt Factorial'!F4</f>
        <v>5.15</v>
      </c>
      <c r="G4" s="54">
        <f>'Q5-Expt Factorial'!G4</f>
        <v>1.76</v>
      </c>
      <c r="H4" s="52">
        <f>'Q5-Expt Factorial'!H4</f>
        <v>2.78</v>
      </c>
      <c r="I4" s="53">
        <f>'Q5-Expt Factorial'!I4</f>
        <v>2.4300000000000002</v>
      </c>
      <c r="K4" s="14" t="s">
        <v>66</v>
      </c>
      <c r="L4" s="13" t="s">
        <v>67</v>
      </c>
      <c r="M4" s="14" t="s">
        <v>66</v>
      </c>
      <c r="N4" s="13" t="s">
        <v>67</v>
      </c>
      <c r="P4" s="4" t="s">
        <v>0</v>
      </c>
      <c r="Q4">
        <f>S4+1.682*(R4-S4)</f>
        <v>10.544</v>
      </c>
      <c r="R4">
        <v>16</v>
      </c>
      <c r="S4">
        <f>AVERAGE(R4, T4)</f>
        <v>24</v>
      </c>
      <c r="T4">
        <v>32</v>
      </c>
      <c r="U4" s="6">
        <f>S4+1.682*(T4-S4)</f>
        <v>37.456000000000003</v>
      </c>
    </row>
    <row r="5" spans="2:21">
      <c r="B5" s="51">
        <v>2</v>
      </c>
      <c r="C5" s="52">
        <v>1</v>
      </c>
      <c r="D5" s="52">
        <v>-1</v>
      </c>
      <c r="E5" s="53">
        <v>1</v>
      </c>
      <c r="F5" s="52">
        <f>'Q5-Expt Factorial'!F5</f>
        <v>2.1</v>
      </c>
      <c r="G5" s="53">
        <f>'Q5-Expt Factorial'!G5</f>
        <v>2.08</v>
      </c>
      <c r="H5" s="52">
        <f>'Q5-Expt Factorial'!H5</f>
        <v>1.91</v>
      </c>
      <c r="I5" s="53">
        <f>'Q5-Expt Factorial'!I5</f>
        <v>1.58</v>
      </c>
      <c r="K5" s="1">
        <v>10</v>
      </c>
      <c r="L5" s="6">
        <v>28</v>
      </c>
      <c r="M5">
        <v>7</v>
      </c>
      <c r="N5" s="10">
        <v>22</v>
      </c>
      <c r="P5" s="4" t="s">
        <v>1</v>
      </c>
      <c r="Q5">
        <f t="shared" ref="Q5:Q6" si="0">S5+1.682*(R5-S5)</f>
        <v>11.635999999999999</v>
      </c>
      <c r="R5">
        <v>13</v>
      </c>
      <c r="S5">
        <f t="shared" ref="S5:S6" si="1">AVERAGE(R5, T5)</f>
        <v>15</v>
      </c>
      <c r="T5">
        <v>17</v>
      </c>
      <c r="U5" s="6">
        <f t="shared" ref="U5:U6" si="2">S5+1.682*(T5-S5)</f>
        <v>18.364000000000001</v>
      </c>
    </row>
    <row r="6" spans="2:21">
      <c r="B6" s="51">
        <v>3</v>
      </c>
      <c r="C6" s="52">
        <v>1</v>
      </c>
      <c r="D6" s="52">
        <v>1</v>
      </c>
      <c r="E6" s="53">
        <v>-1</v>
      </c>
      <c r="F6" s="52">
        <f>'Q5-Expt Factorial'!F6</f>
        <v>2.33</v>
      </c>
      <c r="G6" s="53">
        <f>'Q5-Expt Factorial'!G6</f>
        <v>4.08</v>
      </c>
      <c r="H6" s="52">
        <f>'Q5-Expt Factorial'!H6</f>
        <v>1.55</v>
      </c>
      <c r="I6" s="53">
        <f>'Q5-Expt Factorial'!I6</f>
        <v>1.43</v>
      </c>
      <c r="K6" s="1">
        <v>8</v>
      </c>
      <c r="L6" s="6">
        <v>12</v>
      </c>
      <c r="M6">
        <v>21</v>
      </c>
      <c r="N6" s="6">
        <v>5</v>
      </c>
      <c r="P6" s="5" t="s">
        <v>24</v>
      </c>
      <c r="Q6" s="2">
        <f t="shared" si="0"/>
        <v>4.9540000000000006</v>
      </c>
      <c r="R6" s="3">
        <v>7</v>
      </c>
      <c r="S6" s="3">
        <f t="shared" si="1"/>
        <v>10</v>
      </c>
      <c r="T6" s="3">
        <v>13</v>
      </c>
      <c r="U6" s="7">
        <f t="shared" si="2"/>
        <v>15.045999999999999</v>
      </c>
    </row>
    <row r="7" spans="2:21">
      <c r="B7" s="51">
        <v>4</v>
      </c>
      <c r="C7" s="52">
        <v>1</v>
      </c>
      <c r="D7" s="52">
        <v>-1</v>
      </c>
      <c r="E7" s="53">
        <v>-1</v>
      </c>
      <c r="F7" s="52">
        <f>'Q5-Expt Factorial'!F7</f>
        <v>1.96</v>
      </c>
      <c r="G7" s="53">
        <f>'Q5-Expt Factorial'!G7</f>
        <v>1.78</v>
      </c>
      <c r="H7" s="52">
        <f>'Q5-Expt Factorial'!H7</f>
        <v>1.6</v>
      </c>
      <c r="I7" s="53">
        <f>'Q5-Expt Factorial'!I7</f>
        <v>1.88</v>
      </c>
      <c r="K7" s="1">
        <v>14</v>
      </c>
      <c r="L7" s="6">
        <v>23</v>
      </c>
      <c r="M7">
        <v>11</v>
      </c>
      <c r="N7" s="6">
        <v>15</v>
      </c>
    </row>
    <row r="8" spans="2:21">
      <c r="B8" s="51">
        <v>5</v>
      </c>
      <c r="C8" s="52">
        <v>-1</v>
      </c>
      <c r="D8" s="52">
        <v>1</v>
      </c>
      <c r="E8" s="53">
        <v>1</v>
      </c>
      <c r="F8" s="52">
        <f>'Q5-Expt Factorial'!F8</f>
        <v>1.83</v>
      </c>
      <c r="G8" s="53">
        <f>'Q5-Expt Factorial'!G8</f>
        <v>1.21</v>
      </c>
      <c r="H8" s="52">
        <f>'Q5-Expt Factorial'!H8</f>
        <v>2.31</v>
      </c>
      <c r="I8" s="53">
        <f>'Q5-Expt Factorial'!I8</f>
        <v>1.56</v>
      </c>
      <c r="K8" s="1">
        <v>20</v>
      </c>
      <c r="L8" s="6">
        <v>24</v>
      </c>
      <c r="M8">
        <v>3</v>
      </c>
      <c r="N8" s="6">
        <v>9</v>
      </c>
    </row>
    <row r="9" spans="2:21">
      <c r="B9" s="51">
        <v>6</v>
      </c>
      <c r="C9" s="52">
        <v>-1</v>
      </c>
      <c r="D9" s="52">
        <v>-1</v>
      </c>
      <c r="E9" s="53">
        <v>1</v>
      </c>
      <c r="F9" s="52">
        <f>'Q5-Expt Factorial'!F9</f>
        <v>2.58</v>
      </c>
      <c r="G9" s="53">
        <f>'Q5-Expt Factorial'!G9</f>
        <v>2.78</v>
      </c>
      <c r="H9" s="52">
        <f>'Q5-Expt Factorial'!H9</f>
        <v>1.72</v>
      </c>
      <c r="I9" s="53">
        <f>'Q5-Expt Factorial'!I9</f>
        <v>1.72</v>
      </c>
      <c r="K9" s="1">
        <v>1</v>
      </c>
      <c r="L9" s="6">
        <v>17</v>
      </c>
      <c r="M9">
        <v>16</v>
      </c>
      <c r="N9" s="6">
        <v>18</v>
      </c>
    </row>
    <row r="10" spans="2:21">
      <c r="B10" s="51">
        <v>7</v>
      </c>
      <c r="C10" s="52">
        <v>-1</v>
      </c>
      <c r="D10" s="52">
        <v>1</v>
      </c>
      <c r="E10" s="53">
        <v>-1</v>
      </c>
      <c r="F10" s="52">
        <f>'Q5-Expt Factorial'!F10</f>
        <v>0.91</v>
      </c>
      <c r="G10" s="53">
        <f>'Q5-Expt Factorial'!G10</f>
        <v>1.25</v>
      </c>
      <c r="H10" s="52">
        <f>'Q5-Expt Factorial'!H10</f>
        <v>1.6</v>
      </c>
      <c r="I10" s="53">
        <f>'Q5-Expt Factorial'!I10</f>
        <v>2.1800000000000002</v>
      </c>
      <c r="K10" s="1">
        <v>25</v>
      </c>
      <c r="L10" s="6">
        <v>27</v>
      </c>
      <c r="M10">
        <v>2</v>
      </c>
      <c r="N10" s="6">
        <v>19</v>
      </c>
    </row>
    <row r="11" spans="2:21">
      <c r="B11" s="55">
        <v>8</v>
      </c>
      <c r="C11" s="56">
        <v>-1</v>
      </c>
      <c r="D11" s="56">
        <v>-1</v>
      </c>
      <c r="E11" s="57">
        <v>-1</v>
      </c>
      <c r="F11" s="58">
        <f>'Q5-Expt Factorial'!F11</f>
        <v>2.63</v>
      </c>
      <c r="G11" s="57">
        <f>'Q5-Expt Factorial'!G11</f>
        <v>2.0499999999999998</v>
      </c>
      <c r="H11" s="56">
        <f>'Q5-Expt Factorial'!H11</f>
        <v>1.01</v>
      </c>
      <c r="I11" s="57">
        <f>'Q5-Expt Factorial'!I11</f>
        <v>1.61</v>
      </c>
      <c r="K11" s="1">
        <v>4</v>
      </c>
      <c r="L11" s="6">
        <v>26</v>
      </c>
      <c r="M11">
        <v>6</v>
      </c>
      <c r="N11" s="6">
        <v>13</v>
      </c>
    </row>
    <row r="12" spans="2:21" ht="16">
      <c r="B12" s="4" t="s">
        <v>137</v>
      </c>
      <c r="C12">
        <v>-1.6819999999999999</v>
      </c>
      <c r="D12">
        <v>0</v>
      </c>
      <c r="E12" s="10">
        <v>0</v>
      </c>
      <c r="F12" s="91">
        <v>1.9</v>
      </c>
      <c r="G12" s="91">
        <v>2.0099999999999998</v>
      </c>
      <c r="H12" s="91">
        <v>1.83</v>
      </c>
      <c r="I12" s="91">
        <v>2.21</v>
      </c>
      <c r="K12" s="9"/>
      <c r="L12" s="9"/>
      <c r="M12" s="9"/>
      <c r="N12" s="9"/>
      <c r="P12" s="106" t="s">
        <v>77</v>
      </c>
      <c r="Q12" s="106"/>
      <c r="R12" s="106"/>
    </row>
    <row r="13" spans="2:21" ht="18">
      <c r="B13" s="4">
        <v>10</v>
      </c>
      <c r="C13">
        <v>1.6819999999999999</v>
      </c>
      <c r="D13">
        <v>0</v>
      </c>
      <c r="E13" s="6">
        <v>0</v>
      </c>
      <c r="F13" s="91">
        <v>2.61</v>
      </c>
      <c r="G13" s="91">
        <v>2.56</v>
      </c>
      <c r="H13" s="91">
        <v>2.41</v>
      </c>
      <c r="I13" s="91">
        <v>1.98</v>
      </c>
      <c r="K13" s="47"/>
      <c r="P13" s="106"/>
      <c r="Q13" s="106"/>
      <c r="R13" s="106"/>
    </row>
    <row r="14" spans="2:21" ht="16">
      <c r="B14" s="4">
        <v>11</v>
      </c>
      <c r="C14">
        <v>0</v>
      </c>
      <c r="D14">
        <v>-1.6819999999999999</v>
      </c>
      <c r="E14" s="6">
        <v>0</v>
      </c>
      <c r="F14" s="91">
        <v>3.7</v>
      </c>
      <c r="G14" s="91">
        <v>2.68</v>
      </c>
      <c r="H14" s="91">
        <v>1.1599999999999999</v>
      </c>
      <c r="I14" s="91">
        <v>1.1100000000000001</v>
      </c>
      <c r="P14" s="12"/>
      <c r="Q14" s="12" t="s">
        <v>78</v>
      </c>
      <c r="R14" s="12" t="s">
        <v>128</v>
      </c>
    </row>
    <row r="15" spans="2:21" ht="15" customHeight="1">
      <c r="B15" s="4">
        <v>12</v>
      </c>
      <c r="C15">
        <v>0</v>
      </c>
      <c r="D15">
        <v>1.6819999999999999</v>
      </c>
      <c r="E15" s="6">
        <v>0</v>
      </c>
      <c r="F15" s="91">
        <v>2.0099999999999998</v>
      </c>
      <c r="G15" s="91">
        <v>2.5499999999999998</v>
      </c>
      <c r="H15" s="91">
        <v>2.85</v>
      </c>
      <c r="I15" s="91">
        <v>2.7</v>
      </c>
      <c r="P15" s="107" t="s">
        <v>63</v>
      </c>
      <c r="Q15" s="10">
        <f>MIN(K5:L5)</f>
        <v>10</v>
      </c>
      <c r="R15" s="8">
        <f>RANK(Q15, Q$15:Q$28) + 16</f>
        <v>22</v>
      </c>
    </row>
    <row r="16" spans="2:21" ht="15" customHeight="1">
      <c r="B16" s="4">
        <v>13</v>
      </c>
      <c r="C16">
        <v>0</v>
      </c>
      <c r="D16">
        <v>0</v>
      </c>
      <c r="E16" s="6">
        <v>-1.6819999999999999</v>
      </c>
      <c r="F16" s="91">
        <v>1.66</v>
      </c>
      <c r="G16" s="91">
        <v>2.88</v>
      </c>
      <c r="H16" s="91">
        <v>0.98</v>
      </c>
      <c r="I16" s="91">
        <v>1.58</v>
      </c>
      <c r="P16" s="108"/>
      <c r="Q16" s="6">
        <f t="shared" ref="Q16:Q21" si="3">MIN(K6:L6)</f>
        <v>8</v>
      </c>
      <c r="R16" s="4">
        <f t="shared" ref="R16:R28" si="4">RANK(Q16, Q$15:Q$28) + 16</f>
        <v>23</v>
      </c>
    </row>
    <row r="17" spans="2:18" ht="16">
      <c r="B17" s="4">
        <v>14</v>
      </c>
      <c r="C17">
        <v>0</v>
      </c>
      <c r="D17">
        <v>0</v>
      </c>
      <c r="E17" s="6">
        <v>1.6819999999999999</v>
      </c>
      <c r="F17" s="91">
        <v>2.11</v>
      </c>
      <c r="G17" s="91">
        <v>2.63</v>
      </c>
      <c r="H17" s="91">
        <v>1.59</v>
      </c>
      <c r="I17" s="91">
        <v>2.48</v>
      </c>
      <c r="P17" s="108"/>
      <c r="Q17" s="6">
        <f t="shared" si="3"/>
        <v>14</v>
      </c>
      <c r="R17" s="4">
        <f t="shared" si="4"/>
        <v>20</v>
      </c>
    </row>
    <row r="18" spans="2:18" ht="16">
      <c r="B18" s="5">
        <v>15</v>
      </c>
      <c r="C18" s="3">
        <v>0</v>
      </c>
      <c r="D18" s="3">
        <v>0</v>
      </c>
      <c r="E18" s="7">
        <v>0</v>
      </c>
      <c r="F18" s="91">
        <v>2.0099999999999998</v>
      </c>
      <c r="G18" s="91">
        <v>2.25</v>
      </c>
      <c r="H18" s="91">
        <v>2.65</v>
      </c>
      <c r="I18" s="91">
        <v>1.9</v>
      </c>
      <c r="P18" s="108"/>
      <c r="Q18" s="6">
        <f t="shared" si="3"/>
        <v>20</v>
      </c>
      <c r="R18" s="4">
        <f t="shared" si="4"/>
        <v>18</v>
      </c>
    </row>
    <row r="19" spans="2:18">
      <c r="P19" s="108"/>
      <c r="Q19" s="6">
        <f t="shared" si="3"/>
        <v>1</v>
      </c>
      <c r="R19" s="4">
        <f t="shared" si="4"/>
        <v>30</v>
      </c>
    </row>
    <row r="20" spans="2:18">
      <c r="P20" s="108"/>
      <c r="Q20" s="6">
        <f t="shared" si="3"/>
        <v>25</v>
      </c>
      <c r="R20" s="4">
        <f t="shared" si="4"/>
        <v>17</v>
      </c>
    </row>
    <row r="21" spans="2:18" ht="15" customHeight="1">
      <c r="B21" s="113" t="s">
        <v>65</v>
      </c>
      <c r="C21" s="114"/>
      <c r="D21" s="114"/>
      <c r="E21" s="114"/>
      <c r="F21" s="114"/>
      <c r="G21" s="115"/>
      <c r="I21" s="113" t="s">
        <v>91</v>
      </c>
      <c r="J21" s="114"/>
      <c r="K21" s="114"/>
      <c r="L21" s="114"/>
      <c r="M21" s="115"/>
      <c r="N21" s="38"/>
      <c r="P21" s="109"/>
      <c r="Q21" s="7">
        <f t="shared" si="3"/>
        <v>4</v>
      </c>
      <c r="R21" s="5">
        <f t="shared" si="4"/>
        <v>27</v>
      </c>
    </row>
    <row r="22" spans="2:18" ht="15" customHeight="1">
      <c r="B22" s="116"/>
      <c r="C22" s="117"/>
      <c r="D22" s="117"/>
      <c r="E22" s="117"/>
      <c r="F22" s="117"/>
      <c r="G22" s="118"/>
      <c r="I22" s="116"/>
      <c r="J22" s="117"/>
      <c r="K22" s="117"/>
      <c r="L22" s="117"/>
      <c r="M22" s="118"/>
      <c r="N22" s="38"/>
      <c r="P22" s="107" t="s">
        <v>64</v>
      </c>
      <c r="Q22" s="10">
        <f t="shared" ref="Q22:Q28" si="5">MIN(M5:N5)</f>
        <v>7</v>
      </c>
      <c r="R22" s="8">
        <f t="shared" si="4"/>
        <v>24</v>
      </c>
    </row>
    <row r="23" spans="2:18">
      <c r="B23" s="48" t="s">
        <v>7</v>
      </c>
      <c r="C23" s="49" t="s">
        <v>0</v>
      </c>
      <c r="D23" s="49" t="s">
        <v>1</v>
      </c>
      <c r="E23" s="50" t="s">
        <v>2</v>
      </c>
      <c r="F23" s="49" t="s">
        <v>63</v>
      </c>
      <c r="G23" s="50" t="s">
        <v>64</v>
      </c>
      <c r="I23" s="12"/>
      <c r="J23" s="11" t="s">
        <v>0</v>
      </c>
      <c r="K23" s="11" t="s">
        <v>1</v>
      </c>
      <c r="L23" s="13" t="s">
        <v>2</v>
      </c>
      <c r="M23" s="12" t="s">
        <v>21</v>
      </c>
      <c r="P23" s="108"/>
      <c r="Q23" s="6">
        <f t="shared" si="5"/>
        <v>5</v>
      </c>
      <c r="R23" s="4">
        <f t="shared" si="4"/>
        <v>26</v>
      </c>
    </row>
    <row r="24" spans="2:18">
      <c r="B24" s="51">
        <v>1</v>
      </c>
      <c r="C24" s="52">
        <v>1</v>
      </c>
      <c r="D24" s="52">
        <v>1</v>
      </c>
      <c r="E24" s="53">
        <v>1</v>
      </c>
      <c r="F24" s="52">
        <f>AVERAGE(F4:G4)</f>
        <v>3.4550000000000001</v>
      </c>
      <c r="G24" s="53">
        <f>AVERAGE(H4:I4)</f>
        <v>2.605</v>
      </c>
      <c r="I24" s="135" t="s">
        <v>63</v>
      </c>
      <c r="J24">
        <v>1</v>
      </c>
      <c r="K24">
        <v>1</v>
      </c>
      <c r="L24" s="6">
        <v>1</v>
      </c>
      <c r="M24" s="4">
        <f>F24</f>
        <v>3.4550000000000001</v>
      </c>
      <c r="P24" s="108"/>
      <c r="Q24" s="6">
        <f t="shared" si="5"/>
        <v>11</v>
      </c>
      <c r="R24" s="4">
        <f t="shared" si="4"/>
        <v>21</v>
      </c>
    </row>
    <row r="25" spans="2:18">
      <c r="B25" s="51">
        <v>2</v>
      </c>
      <c r="C25" s="52">
        <v>1</v>
      </c>
      <c r="D25" s="52">
        <v>-1</v>
      </c>
      <c r="E25" s="53">
        <v>1</v>
      </c>
      <c r="F25" s="52">
        <f t="shared" ref="F25:F37" si="6">AVERAGE(F5:G5)</f>
        <v>2.09</v>
      </c>
      <c r="G25" s="53">
        <f t="shared" ref="G25:G38" si="7">AVERAGE(H5:I5)</f>
        <v>1.7450000000000001</v>
      </c>
      <c r="I25" s="135"/>
      <c r="J25">
        <v>1</v>
      </c>
      <c r="K25">
        <v>-1</v>
      </c>
      <c r="L25" s="6">
        <v>1</v>
      </c>
      <c r="M25" s="4">
        <f t="shared" ref="M25:M38" si="8">F25</f>
        <v>2.09</v>
      </c>
      <c r="P25" s="108"/>
      <c r="Q25" s="6">
        <f t="shared" si="5"/>
        <v>3</v>
      </c>
      <c r="R25" s="4">
        <f t="shared" si="4"/>
        <v>28</v>
      </c>
    </row>
    <row r="26" spans="2:18">
      <c r="B26" s="51">
        <v>3</v>
      </c>
      <c r="C26" s="52">
        <v>1</v>
      </c>
      <c r="D26" s="52">
        <v>1</v>
      </c>
      <c r="E26" s="53">
        <v>-1</v>
      </c>
      <c r="F26" s="52">
        <f t="shared" si="6"/>
        <v>3.2050000000000001</v>
      </c>
      <c r="G26" s="53">
        <f t="shared" si="7"/>
        <v>1.49</v>
      </c>
      <c r="I26" s="135"/>
      <c r="J26">
        <v>1</v>
      </c>
      <c r="K26">
        <v>1</v>
      </c>
      <c r="L26" s="6">
        <v>-1</v>
      </c>
      <c r="M26" s="4">
        <f t="shared" si="8"/>
        <v>3.2050000000000001</v>
      </c>
      <c r="P26" s="108"/>
      <c r="Q26" s="6">
        <f t="shared" si="5"/>
        <v>16</v>
      </c>
      <c r="R26" s="4">
        <f t="shared" si="4"/>
        <v>19</v>
      </c>
    </row>
    <row r="27" spans="2:18">
      <c r="B27" s="51">
        <v>4</v>
      </c>
      <c r="C27" s="52">
        <v>1</v>
      </c>
      <c r="D27" s="52">
        <v>-1</v>
      </c>
      <c r="E27" s="53">
        <v>-1</v>
      </c>
      <c r="F27" s="52">
        <f t="shared" si="6"/>
        <v>1.87</v>
      </c>
      <c r="G27" s="53">
        <f t="shared" si="7"/>
        <v>1.74</v>
      </c>
      <c r="I27" s="135"/>
      <c r="J27">
        <v>1</v>
      </c>
      <c r="K27">
        <v>-1</v>
      </c>
      <c r="L27" s="6">
        <v>-1</v>
      </c>
      <c r="M27" s="4">
        <f t="shared" si="8"/>
        <v>1.87</v>
      </c>
      <c r="P27" s="108"/>
      <c r="Q27" s="6">
        <f t="shared" si="5"/>
        <v>2</v>
      </c>
      <c r="R27" s="4">
        <f t="shared" si="4"/>
        <v>29</v>
      </c>
    </row>
    <row r="28" spans="2:18">
      <c r="B28" s="51">
        <v>5</v>
      </c>
      <c r="C28" s="52">
        <v>-1</v>
      </c>
      <c r="D28" s="52">
        <v>1</v>
      </c>
      <c r="E28" s="53">
        <v>1</v>
      </c>
      <c r="F28" s="52">
        <f t="shared" si="6"/>
        <v>1.52</v>
      </c>
      <c r="G28" s="53">
        <f t="shared" si="7"/>
        <v>1.9350000000000001</v>
      </c>
      <c r="I28" s="135"/>
      <c r="J28">
        <v>-1</v>
      </c>
      <c r="K28">
        <v>1</v>
      </c>
      <c r="L28" s="6">
        <v>1</v>
      </c>
      <c r="M28" s="4">
        <f t="shared" si="8"/>
        <v>1.52</v>
      </c>
      <c r="P28" s="109"/>
      <c r="Q28" s="7">
        <f t="shared" si="5"/>
        <v>6</v>
      </c>
      <c r="R28" s="5">
        <f t="shared" si="4"/>
        <v>25</v>
      </c>
    </row>
    <row r="29" spans="2:18">
      <c r="B29" s="51">
        <v>6</v>
      </c>
      <c r="C29" s="52">
        <v>-1</v>
      </c>
      <c r="D29" s="52">
        <v>-1</v>
      </c>
      <c r="E29" s="53">
        <v>1</v>
      </c>
      <c r="F29" s="52">
        <f t="shared" si="6"/>
        <v>2.6799999999999997</v>
      </c>
      <c r="G29" s="53">
        <f t="shared" si="7"/>
        <v>1.72</v>
      </c>
      <c r="I29" s="135"/>
      <c r="J29">
        <v>-1</v>
      </c>
      <c r="K29">
        <v>-1</v>
      </c>
      <c r="L29" s="6">
        <v>1</v>
      </c>
      <c r="M29" s="4">
        <f t="shared" si="8"/>
        <v>2.6799999999999997</v>
      </c>
      <c r="P29" s="74"/>
    </row>
    <row r="30" spans="2:18">
      <c r="B30" s="51">
        <v>7</v>
      </c>
      <c r="C30" s="52">
        <v>-1</v>
      </c>
      <c r="D30" s="52">
        <v>1</v>
      </c>
      <c r="E30" s="53">
        <v>-1</v>
      </c>
      <c r="F30" s="52">
        <f t="shared" si="6"/>
        <v>1.08</v>
      </c>
      <c r="G30" s="53">
        <f t="shared" si="7"/>
        <v>1.8900000000000001</v>
      </c>
      <c r="I30" s="135"/>
      <c r="J30">
        <v>-1</v>
      </c>
      <c r="K30">
        <v>1</v>
      </c>
      <c r="L30" s="6">
        <v>-1</v>
      </c>
      <c r="M30" s="4">
        <f t="shared" si="8"/>
        <v>1.08</v>
      </c>
    </row>
    <row r="31" spans="2:18" ht="15" customHeight="1">
      <c r="B31" s="55">
        <v>8</v>
      </c>
      <c r="C31" s="56">
        <v>-1</v>
      </c>
      <c r="D31" s="56">
        <v>-1</v>
      </c>
      <c r="E31" s="57">
        <v>-1</v>
      </c>
      <c r="F31" s="58">
        <f t="shared" si="6"/>
        <v>2.34</v>
      </c>
      <c r="G31" s="57">
        <f t="shared" si="7"/>
        <v>1.31</v>
      </c>
      <c r="I31" s="135"/>
      <c r="J31" s="2">
        <v>-1</v>
      </c>
      <c r="K31" s="3">
        <v>-1</v>
      </c>
      <c r="L31" s="7">
        <v>-1</v>
      </c>
      <c r="M31" s="5">
        <f t="shared" si="8"/>
        <v>2.34</v>
      </c>
    </row>
    <row r="32" spans="2:18" ht="15" customHeight="1">
      <c r="B32" s="4">
        <v>9</v>
      </c>
      <c r="C32">
        <v>-1.6819999999999999</v>
      </c>
      <c r="D32">
        <v>0</v>
      </c>
      <c r="E32" s="10">
        <v>0</v>
      </c>
      <c r="F32">
        <f>AVERAGE(F12:G12)</f>
        <v>1.9549999999999998</v>
      </c>
      <c r="G32" s="6">
        <f>AVERAGE(H12:I12)</f>
        <v>2.02</v>
      </c>
      <c r="I32" s="135"/>
      <c r="J32">
        <v>-1.6819999999999999</v>
      </c>
      <c r="K32">
        <v>0</v>
      </c>
      <c r="L32" s="6">
        <v>0</v>
      </c>
      <c r="M32" s="4">
        <f t="shared" si="8"/>
        <v>1.9549999999999998</v>
      </c>
    </row>
    <row r="33" spans="2:13">
      <c r="B33" s="4">
        <v>10</v>
      </c>
      <c r="C33">
        <v>1.6819999999999999</v>
      </c>
      <c r="D33">
        <v>0</v>
      </c>
      <c r="E33" s="6">
        <v>0</v>
      </c>
      <c r="F33">
        <f>AVERAGE(F13:G13)</f>
        <v>2.585</v>
      </c>
      <c r="G33" s="6">
        <f>AVERAGE(H13:I13)</f>
        <v>2.1950000000000003</v>
      </c>
      <c r="I33" s="135"/>
      <c r="J33">
        <v>1.6819999999999999</v>
      </c>
      <c r="K33">
        <v>0</v>
      </c>
      <c r="L33" s="6">
        <v>0</v>
      </c>
      <c r="M33" s="4">
        <f t="shared" si="8"/>
        <v>2.585</v>
      </c>
    </row>
    <row r="34" spans="2:13">
      <c r="B34" s="4">
        <v>11</v>
      </c>
      <c r="C34">
        <v>0</v>
      </c>
      <c r="D34">
        <v>-1.6819999999999999</v>
      </c>
      <c r="E34" s="6">
        <v>0</v>
      </c>
      <c r="F34">
        <f t="shared" si="6"/>
        <v>3.1900000000000004</v>
      </c>
      <c r="G34" s="6">
        <f t="shared" si="7"/>
        <v>1.135</v>
      </c>
      <c r="I34" s="135"/>
      <c r="J34">
        <v>0</v>
      </c>
      <c r="K34">
        <v>-1.6819999999999999</v>
      </c>
      <c r="L34" s="6">
        <v>0</v>
      </c>
      <c r="M34" s="4">
        <f t="shared" si="8"/>
        <v>3.1900000000000004</v>
      </c>
    </row>
    <row r="35" spans="2:13">
      <c r="B35" s="4">
        <v>12</v>
      </c>
      <c r="C35">
        <v>0</v>
      </c>
      <c r="D35">
        <v>1.6819999999999999</v>
      </c>
      <c r="E35" s="6">
        <v>0</v>
      </c>
      <c r="F35">
        <f t="shared" si="6"/>
        <v>2.2799999999999998</v>
      </c>
      <c r="G35" s="6">
        <f t="shared" si="7"/>
        <v>2.7750000000000004</v>
      </c>
      <c r="I35" s="135"/>
      <c r="J35">
        <v>0</v>
      </c>
      <c r="K35">
        <v>1.6819999999999999</v>
      </c>
      <c r="L35" s="6">
        <v>0</v>
      </c>
      <c r="M35" s="4">
        <f t="shared" si="8"/>
        <v>2.2799999999999998</v>
      </c>
    </row>
    <row r="36" spans="2:13">
      <c r="B36" s="4">
        <v>13</v>
      </c>
      <c r="C36">
        <v>0</v>
      </c>
      <c r="D36">
        <v>0</v>
      </c>
      <c r="E36" s="6">
        <v>-1.6819999999999999</v>
      </c>
      <c r="F36">
        <f t="shared" si="6"/>
        <v>2.27</v>
      </c>
      <c r="G36" s="6">
        <f t="shared" si="7"/>
        <v>1.28</v>
      </c>
      <c r="I36" s="135"/>
      <c r="J36">
        <v>0</v>
      </c>
      <c r="K36">
        <v>0</v>
      </c>
      <c r="L36" s="6">
        <v>-1.6819999999999999</v>
      </c>
      <c r="M36" s="4">
        <f t="shared" si="8"/>
        <v>2.27</v>
      </c>
    </row>
    <row r="37" spans="2:13">
      <c r="B37" s="4">
        <v>14</v>
      </c>
      <c r="C37">
        <v>0</v>
      </c>
      <c r="D37">
        <v>0</v>
      </c>
      <c r="E37" s="6">
        <v>1.6819999999999999</v>
      </c>
      <c r="F37">
        <f t="shared" si="6"/>
        <v>2.37</v>
      </c>
      <c r="G37" s="6">
        <f t="shared" si="7"/>
        <v>2.0350000000000001</v>
      </c>
      <c r="I37" s="135"/>
      <c r="J37">
        <v>0</v>
      </c>
      <c r="K37">
        <v>0</v>
      </c>
      <c r="L37" s="6">
        <v>1.6819999999999999</v>
      </c>
      <c r="M37" s="4">
        <f t="shared" si="8"/>
        <v>2.37</v>
      </c>
    </row>
    <row r="38" spans="2:13">
      <c r="B38" s="5">
        <v>15</v>
      </c>
      <c r="C38" s="3">
        <v>0</v>
      </c>
      <c r="D38" s="3">
        <v>0</v>
      </c>
      <c r="E38" s="7">
        <v>0</v>
      </c>
      <c r="F38" s="2">
        <f>AVERAGE(F18:G18)</f>
        <v>2.13</v>
      </c>
      <c r="G38" s="7">
        <f t="shared" si="7"/>
        <v>2.2749999999999999</v>
      </c>
      <c r="I38" s="135"/>
      <c r="J38" s="2">
        <v>0</v>
      </c>
      <c r="K38" s="3">
        <v>0</v>
      </c>
      <c r="L38" s="7">
        <v>0</v>
      </c>
      <c r="M38" s="5">
        <f t="shared" si="8"/>
        <v>2.13</v>
      </c>
    </row>
    <row r="39" spans="2:13">
      <c r="I39" s="107" t="s">
        <v>64</v>
      </c>
      <c r="J39">
        <v>1</v>
      </c>
      <c r="K39">
        <v>1</v>
      </c>
      <c r="L39" s="6">
        <v>1</v>
      </c>
      <c r="M39" s="4">
        <f>G24</f>
        <v>2.605</v>
      </c>
    </row>
    <row r="40" spans="2:13">
      <c r="I40" s="108"/>
      <c r="J40">
        <v>1</v>
      </c>
      <c r="K40">
        <v>-1</v>
      </c>
      <c r="L40" s="6">
        <v>1</v>
      </c>
      <c r="M40" s="4">
        <f t="shared" ref="M40:M53" si="9">G25</f>
        <v>1.7450000000000001</v>
      </c>
    </row>
    <row r="41" spans="2:13">
      <c r="I41" s="108"/>
      <c r="J41">
        <v>1</v>
      </c>
      <c r="K41">
        <v>1</v>
      </c>
      <c r="L41" s="6">
        <v>-1</v>
      </c>
      <c r="M41" s="4">
        <f t="shared" si="9"/>
        <v>1.49</v>
      </c>
    </row>
    <row r="42" spans="2:13">
      <c r="I42" s="108"/>
      <c r="J42">
        <v>1</v>
      </c>
      <c r="K42">
        <v>-1</v>
      </c>
      <c r="L42" s="6">
        <v>-1</v>
      </c>
      <c r="M42" s="4">
        <f t="shared" si="9"/>
        <v>1.74</v>
      </c>
    </row>
    <row r="43" spans="2:13">
      <c r="I43" s="108"/>
      <c r="J43">
        <v>-1</v>
      </c>
      <c r="K43">
        <v>1</v>
      </c>
      <c r="L43" s="6">
        <v>1</v>
      </c>
      <c r="M43" s="4">
        <f t="shared" si="9"/>
        <v>1.9350000000000001</v>
      </c>
    </row>
    <row r="44" spans="2:13">
      <c r="I44" s="108"/>
      <c r="J44">
        <v>-1</v>
      </c>
      <c r="K44">
        <v>-1</v>
      </c>
      <c r="L44" s="6">
        <v>1</v>
      </c>
      <c r="M44" s="4">
        <f t="shared" si="9"/>
        <v>1.72</v>
      </c>
    </row>
    <row r="45" spans="2:13">
      <c r="I45" s="108"/>
      <c r="J45">
        <v>-1</v>
      </c>
      <c r="K45">
        <v>1</v>
      </c>
      <c r="L45" s="6">
        <v>-1</v>
      </c>
      <c r="M45" s="4">
        <f t="shared" si="9"/>
        <v>1.8900000000000001</v>
      </c>
    </row>
    <row r="46" spans="2:13">
      <c r="I46" s="108"/>
      <c r="J46" s="3">
        <v>-1</v>
      </c>
      <c r="K46" s="3">
        <v>-1</v>
      </c>
      <c r="L46" s="7">
        <v>-1</v>
      </c>
      <c r="M46" s="5">
        <f t="shared" si="9"/>
        <v>1.31</v>
      </c>
    </row>
    <row r="47" spans="2:13">
      <c r="I47" s="108"/>
      <c r="J47">
        <v>-1.6819999999999999</v>
      </c>
      <c r="K47">
        <v>0</v>
      </c>
      <c r="L47" s="10">
        <v>0</v>
      </c>
      <c r="M47" s="4">
        <f t="shared" si="9"/>
        <v>2.02</v>
      </c>
    </row>
    <row r="48" spans="2:13">
      <c r="I48" s="108"/>
      <c r="J48">
        <v>1.6819999999999999</v>
      </c>
      <c r="K48">
        <v>0</v>
      </c>
      <c r="L48" s="6">
        <v>0</v>
      </c>
      <c r="M48" s="4">
        <f t="shared" si="9"/>
        <v>2.1950000000000003</v>
      </c>
    </row>
    <row r="49" spans="9:13">
      <c r="I49" s="108"/>
      <c r="J49">
        <v>0</v>
      </c>
      <c r="K49">
        <v>-1.6819999999999999</v>
      </c>
      <c r="L49" s="6">
        <v>0</v>
      </c>
      <c r="M49" s="4">
        <f t="shared" si="9"/>
        <v>1.135</v>
      </c>
    </row>
    <row r="50" spans="9:13">
      <c r="I50" s="108"/>
      <c r="J50">
        <v>0</v>
      </c>
      <c r="K50">
        <v>1.6819999999999999</v>
      </c>
      <c r="L50" s="6">
        <v>0</v>
      </c>
      <c r="M50" s="4">
        <f t="shared" si="9"/>
        <v>2.7750000000000004</v>
      </c>
    </row>
    <row r="51" spans="9:13">
      <c r="I51" s="108"/>
      <c r="J51">
        <v>0</v>
      </c>
      <c r="K51">
        <v>0</v>
      </c>
      <c r="L51" s="6">
        <v>-1.6819999999999999</v>
      </c>
      <c r="M51" s="4">
        <f t="shared" si="9"/>
        <v>1.28</v>
      </c>
    </row>
    <row r="52" spans="9:13">
      <c r="I52" s="108"/>
      <c r="J52">
        <v>0</v>
      </c>
      <c r="K52">
        <v>0</v>
      </c>
      <c r="L52" s="6">
        <v>1.6819999999999999</v>
      </c>
      <c r="M52" s="4">
        <f t="shared" si="9"/>
        <v>2.0350000000000001</v>
      </c>
    </row>
    <row r="53" spans="9:13">
      <c r="I53" s="109"/>
      <c r="J53" s="3">
        <v>0</v>
      </c>
      <c r="K53" s="3">
        <v>0</v>
      </c>
      <c r="L53" s="7">
        <v>0</v>
      </c>
      <c r="M53" s="5">
        <f t="shared" si="9"/>
        <v>2.2749999999999999</v>
      </c>
    </row>
  </sheetData>
  <mergeCells count="14">
    <mergeCell ref="I39:I53"/>
    <mergeCell ref="I21:M22"/>
    <mergeCell ref="B21:G22"/>
    <mergeCell ref="P1:U2"/>
    <mergeCell ref="K3:L3"/>
    <mergeCell ref="M3:N3"/>
    <mergeCell ref="B1:I2"/>
    <mergeCell ref="F3:G3"/>
    <mergeCell ref="H3:I3"/>
    <mergeCell ref="K1:N2"/>
    <mergeCell ref="P12:R13"/>
    <mergeCell ref="P15:P21"/>
    <mergeCell ref="P22:P28"/>
    <mergeCell ref="I24:I38"/>
  </mergeCells>
  <phoneticPr fontId="2" type="noConversion"/>
  <pageMargins left="0.7" right="0.7" top="0.75" bottom="0.75" header="0.3" footer="0.3"/>
  <ignoredErrors>
    <ignoredError sqref="F32:G35 F36:F38 G36:G38 Q15:Q28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AF59-C7ED-B840-801F-2061A540A316}">
  <dimension ref="B1:S46"/>
  <sheetViews>
    <sheetView zoomScale="91" workbookViewId="0">
      <selection activeCell="N28" sqref="N28"/>
    </sheetView>
  </sheetViews>
  <sheetFormatPr baseColWidth="10" defaultRowHeight="15"/>
  <sheetData>
    <row r="1" spans="2:19" ht="16" customHeight="1">
      <c r="B1" s="113" t="s">
        <v>92</v>
      </c>
      <c r="C1" s="114"/>
      <c r="D1" s="114"/>
      <c r="E1" s="114"/>
      <c r="F1" s="114"/>
      <c r="G1" s="114"/>
      <c r="H1" s="114"/>
      <c r="I1" s="115"/>
      <c r="K1" s="103" t="s">
        <v>18</v>
      </c>
      <c r="L1" s="103"/>
      <c r="M1" s="103"/>
      <c r="N1" s="103"/>
      <c r="O1" s="103"/>
      <c r="P1" s="103"/>
      <c r="Q1" s="103"/>
      <c r="R1" s="103"/>
      <c r="S1" s="103"/>
    </row>
    <row r="2" spans="2:19" ht="15" customHeight="1">
      <c r="B2" s="116"/>
      <c r="C2" s="117"/>
      <c r="D2" s="117"/>
      <c r="E2" s="117"/>
      <c r="F2" s="117"/>
      <c r="G2" s="117"/>
      <c r="H2" s="117"/>
      <c r="I2" s="118"/>
      <c r="K2" s="103"/>
      <c r="L2" s="103"/>
      <c r="M2" s="103"/>
      <c r="N2" s="103"/>
      <c r="O2" s="103"/>
      <c r="P2" s="103"/>
      <c r="Q2" s="103"/>
      <c r="R2" s="103"/>
      <c r="S2" s="103"/>
    </row>
    <row r="3" spans="2:19" ht="15" customHeight="1">
      <c r="B3" s="107" t="s">
        <v>63</v>
      </c>
      <c r="C3" s="14" t="s">
        <v>0</v>
      </c>
      <c r="D3" s="11" t="s">
        <v>1</v>
      </c>
      <c r="E3" s="13" t="s">
        <v>2</v>
      </c>
      <c r="F3" s="11" t="s">
        <v>94</v>
      </c>
      <c r="G3" s="11" t="s">
        <v>96</v>
      </c>
      <c r="H3" s="11" t="s">
        <v>98</v>
      </c>
      <c r="I3" s="12" t="s">
        <v>21</v>
      </c>
      <c r="K3" t="s">
        <v>99</v>
      </c>
    </row>
    <row r="4" spans="2:19" ht="16" thickBot="1">
      <c r="B4" s="108"/>
      <c r="C4">
        <v>1</v>
      </c>
      <c r="D4">
        <v>1</v>
      </c>
      <c r="E4" s="6">
        <v>1</v>
      </c>
      <c r="F4">
        <f>C4^2</f>
        <v>1</v>
      </c>
      <c r="G4">
        <f t="shared" ref="G4:H4" si="0">D4^2</f>
        <v>1</v>
      </c>
      <c r="H4">
        <f t="shared" si="0"/>
        <v>1</v>
      </c>
      <c r="I4" s="4">
        <f>'Q13-Expt CCD'!M24</f>
        <v>3.4550000000000001</v>
      </c>
    </row>
    <row r="5" spans="2:19">
      <c r="B5" s="108"/>
      <c r="C5">
        <v>1</v>
      </c>
      <c r="D5">
        <v>-1</v>
      </c>
      <c r="E5" s="6">
        <v>1</v>
      </c>
      <c r="F5">
        <f t="shared" ref="F5:F33" si="1">C5^2</f>
        <v>1</v>
      </c>
      <c r="G5">
        <f t="shared" ref="G5:G33" si="2">D5^2</f>
        <v>1</v>
      </c>
      <c r="H5">
        <f t="shared" ref="H5:H33" si="3">E5^2</f>
        <v>1</v>
      </c>
      <c r="I5" s="4">
        <f>'Q13-Expt CCD'!M25</f>
        <v>2.09</v>
      </c>
      <c r="K5" s="92" t="s">
        <v>100</v>
      </c>
      <c r="L5" s="92"/>
    </row>
    <row r="6" spans="2:19">
      <c r="B6" s="108"/>
      <c r="C6">
        <v>1</v>
      </c>
      <c r="D6">
        <v>1</v>
      </c>
      <c r="E6" s="6">
        <v>-1</v>
      </c>
      <c r="F6">
        <f t="shared" si="1"/>
        <v>1</v>
      </c>
      <c r="G6">
        <f t="shared" si="2"/>
        <v>1</v>
      </c>
      <c r="H6">
        <f t="shared" si="3"/>
        <v>1</v>
      </c>
      <c r="I6" s="4">
        <f>'Q13-Expt CCD'!M26</f>
        <v>3.2050000000000001</v>
      </c>
      <c r="K6" s="95" t="s">
        <v>101</v>
      </c>
      <c r="L6" s="95" t="s">
        <v>141</v>
      </c>
    </row>
    <row r="7" spans="2:19">
      <c r="B7" s="108"/>
      <c r="C7">
        <v>1</v>
      </c>
      <c r="D7">
        <v>-1</v>
      </c>
      <c r="E7" s="6">
        <v>-1</v>
      </c>
      <c r="F7">
        <f t="shared" si="1"/>
        <v>1</v>
      </c>
      <c r="G7">
        <f t="shared" si="2"/>
        <v>1</v>
      </c>
      <c r="H7">
        <f t="shared" si="3"/>
        <v>1</v>
      </c>
      <c r="I7" s="4">
        <f>'Q13-Expt CCD'!M27</f>
        <v>1.87</v>
      </c>
      <c r="K7" s="100" t="s">
        <v>102</v>
      </c>
      <c r="L7" s="100">
        <v>0.21450159252081263</v>
      </c>
    </row>
    <row r="8" spans="2:19">
      <c r="B8" s="108"/>
      <c r="C8">
        <v>-1</v>
      </c>
      <c r="D8">
        <v>1</v>
      </c>
      <c r="E8" s="6">
        <v>1</v>
      </c>
      <c r="F8">
        <f t="shared" si="1"/>
        <v>1</v>
      </c>
      <c r="G8">
        <f t="shared" si="2"/>
        <v>1</v>
      </c>
      <c r="H8">
        <f t="shared" si="3"/>
        <v>1</v>
      </c>
      <c r="I8" s="4">
        <f>'Q13-Expt CCD'!M28</f>
        <v>1.52</v>
      </c>
      <c r="K8" s="100" t="s">
        <v>103</v>
      </c>
      <c r="L8" s="100">
        <v>9.5889644827637562E-3</v>
      </c>
    </row>
    <row r="9" spans="2:19">
      <c r="B9" s="108"/>
      <c r="C9">
        <v>-1</v>
      </c>
      <c r="D9">
        <v>-1</v>
      </c>
      <c r="E9" s="6">
        <v>1</v>
      </c>
      <c r="F9">
        <f t="shared" si="1"/>
        <v>1</v>
      </c>
      <c r="G9">
        <f t="shared" si="2"/>
        <v>1</v>
      </c>
      <c r="H9">
        <f t="shared" si="3"/>
        <v>1</v>
      </c>
      <c r="I9" s="4">
        <f>'Q13-Expt CCD'!M29</f>
        <v>2.6799999999999997</v>
      </c>
      <c r="K9" t="s">
        <v>104</v>
      </c>
      <c r="L9">
        <v>0.59285261429434044</v>
      </c>
    </row>
    <row r="10" spans="2:19" ht="16" thickBot="1">
      <c r="B10" s="108"/>
      <c r="C10">
        <v>-1</v>
      </c>
      <c r="D10">
        <v>1</v>
      </c>
      <c r="E10" s="6">
        <v>-1</v>
      </c>
      <c r="F10">
        <f t="shared" si="1"/>
        <v>1</v>
      </c>
      <c r="G10">
        <f t="shared" si="2"/>
        <v>1</v>
      </c>
      <c r="H10">
        <f t="shared" si="3"/>
        <v>1</v>
      </c>
      <c r="I10" s="4">
        <f>'Q13-Expt CCD'!M30</f>
        <v>1.08</v>
      </c>
      <c r="K10" s="75" t="s">
        <v>105</v>
      </c>
      <c r="L10" s="75">
        <v>30</v>
      </c>
    </row>
    <row r="11" spans="2:19">
      <c r="B11" s="108"/>
      <c r="C11">
        <v>-1</v>
      </c>
      <c r="D11">
        <v>-1</v>
      </c>
      <c r="E11" s="6">
        <v>-1</v>
      </c>
      <c r="F11">
        <f t="shared" si="1"/>
        <v>1</v>
      </c>
      <c r="G11">
        <f t="shared" si="2"/>
        <v>1</v>
      </c>
      <c r="H11" s="6">
        <f t="shared" si="3"/>
        <v>1</v>
      </c>
      <c r="I11" s="6">
        <f>'Q13-Expt CCD'!M31</f>
        <v>2.34</v>
      </c>
    </row>
    <row r="12" spans="2:19" ht="16" thickBot="1">
      <c r="B12" s="108"/>
      <c r="C12">
        <v>-1.6819999999999999</v>
      </c>
      <c r="D12">
        <v>0</v>
      </c>
      <c r="E12" s="6">
        <v>0</v>
      </c>
      <c r="F12">
        <f t="shared" si="1"/>
        <v>2.8291239999999998</v>
      </c>
      <c r="G12">
        <f t="shared" si="2"/>
        <v>0</v>
      </c>
      <c r="H12">
        <f t="shared" si="3"/>
        <v>0</v>
      </c>
      <c r="I12" s="4">
        <f>'Q13-Expt CCD'!M32</f>
        <v>1.9549999999999998</v>
      </c>
      <c r="K12" t="s">
        <v>106</v>
      </c>
    </row>
    <row r="13" spans="2:19">
      <c r="B13" s="108"/>
      <c r="C13">
        <v>1.6819999999999999</v>
      </c>
      <c r="D13">
        <v>0</v>
      </c>
      <c r="E13" s="6">
        <v>0</v>
      </c>
      <c r="F13">
        <f t="shared" si="1"/>
        <v>2.8291239999999998</v>
      </c>
      <c r="G13">
        <f t="shared" si="2"/>
        <v>0</v>
      </c>
      <c r="H13">
        <f t="shared" si="3"/>
        <v>0</v>
      </c>
      <c r="I13" s="4">
        <f>'Q13-Expt CCD'!M33</f>
        <v>2.585</v>
      </c>
      <c r="K13" s="76"/>
      <c r="L13" s="76" t="s">
        <v>111</v>
      </c>
      <c r="M13" s="76" t="s">
        <v>112</v>
      </c>
      <c r="N13" s="76" t="s">
        <v>113</v>
      </c>
      <c r="O13" s="76" t="s">
        <v>114</v>
      </c>
      <c r="P13" s="76" t="s">
        <v>115</v>
      </c>
    </row>
    <row r="14" spans="2:19">
      <c r="B14" s="108"/>
      <c r="C14">
        <v>0</v>
      </c>
      <c r="D14">
        <v>-1.6819999999999999</v>
      </c>
      <c r="E14" s="6">
        <v>0</v>
      </c>
      <c r="F14">
        <f t="shared" si="1"/>
        <v>0</v>
      </c>
      <c r="G14">
        <f t="shared" si="2"/>
        <v>2.8291239999999998</v>
      </c>
      <c r="H14">
        <f t="shared" si="3"/>
        <v>0</v>
      </c>
      <c r="I14" s="4">
        <f>'Q13-Expt CCD'!M34</f>
        <v>3.1900000000000004</v>
      </c>
      <c r="K14" t="s">
        <v>107</v>
      </c>
      <c r="L14">
        <v>6</v>
      </c>
      <c r="M14">
        <v>2.207529554327083</v>
      </c>
      <c r="N14">
        <v>0.36792159238784716</v>
      </c>
      <c r="O14">
        <v>1.0467953809122161</v>
      </c>
      <c r="P14">
        <v>0.42170008367640122</v>
      </c>
    </row>
    <row r="15" spans="2:19">
      <c r="B15" s="108"/>
      <c r="C15">
        <v>0</v>
      </c>
      <c r="D15">
        <v>1.6819999999999999</v>
      </c>
      <c r="E15" s="6">
        <v>0</v>
      </c>
      <c r="F15">
        <f t="shared" si="1"/>
        <v>0</v>
      </c>
      <c r="G15">
        <f t="shared" si="2"/>
        <v>2.8291239999999998</v>
      </c>
      <c r="H15">
        <f t="shared" si="3"/>
        <v>0</v>
      </c>
      <c r="I15" s="4">
        <f>'Q13-Expt CCD'!M35</f>
        <v>2.2799999999999998</v>
      </c>
      <c r="K15" t="s">
        <v>108</v>
      </c>
      <c r="L15">
        <v>23</v>
      </c>
      <c r="M15">
        <v>8.0839071123395811</v>
      </c>
      <c r="N15">
        <v>0.35147422227563396</v>
      </c>
    </row>
    <row r="16" spans="2:19" ht="16" thickBot="1">
      <c r="B16" s="108"/>
      <c r="C16">
        <v>0</v>
      </c>
      <c r="D16">
        <v>0</v>
      </c>
      <c r="E16" s="6">
        <v>-1.6819999999999999</v>
      </c>
      <c r="F16">
        <f t="shared" si="1"/>
        <v>0</v>
      </c>
      <c r="G16">
        <f t="shared" si="2"/>
        <v>0</v>
      </c>
      <c r="H16">
        <f t="shared" si="3"/>
        <v>2.8291239999999998</v>
      </c>
      <c r="I16" s="4">
        <f>'Q13-Expt CCD'!M36</f>
        <v>2.27</v>
      </c>
      <c r="K16" s="75" t="s">
        <v>109</v>
      </c>
      <c r="L16" s="75">
        <v>29</v>
      </c>
      <c r="M16" s="75">
        <v>10.291436666666664</v>
      </c>
      <c r="N16" s="75"/>
      <c r="O16" s="75"/>
      <c r="P16" s="75"/>
    </row>
    <row r="17" spans="2:19" ht="16" thickBot="1">
      <c r="B17" s="108"/>
      <c r="C17">
        <v>0</v>
      </c>
      <c r="D17">
        <v>0</v>
      </c>
      <c r="E17" s="6">
        <v>1.6819999999999999</v>
      </c>
      <c r="F17">
        <f t="shared" si="1"/>
        <v>0</v>
      </c>
      <c r="G17">
        <f t="shared" si="2"/>
        <v>0</v>
      </c>
      <c r="H17">
        <f t="shared" si="3"/>
        <v>2.8291239999999998</v>
      </c>
      <c r="I17" s="4">
        <f>'Q13-Expt CCD'!M37</f>
        <v>2.37</v>
      </c>
    </row>
    <row r="18" spans="2:19">
      <c r="B18" s="109"/>
      <c r="C18" s="3">
        <v>0</v>
      </c>
      <c r="D18" s="3">
        <v>0</v>
      </c>
      <c r="E18" s="7">
        <v>0</v>
      </c>
      <c r="F18" s="3">
        <f t="shared" si="1"/>
        <v>0</v>
      </c>
      <c r="G18" s="3">
        <f t="shared" si="2"/>
        <v>0</v>
      </c>
      <c r="H18" s="3">
        <f t="shared" si="3"/>
        <v>0</v>
      </c>
      <c r="I18" s="5">
        <f>'Q13-Expt CCD'!M38</f>
        <v>2.13</v>
      </c>
      <c r="K18" s="76"/>
      <c r="L18" s="76" t="s">
        <v>116</v>
      </c>
      <c r="M18" s="76" t="s">
        <v>104</v>
      </c>
      <c r="N18" s="76" t="s">
        <v>117</v>
      </c>
      <c r="O18" s="76" t="s">
        <v>118</v>
      </c>
      <c r="P18" s="76" t="s">
        <v>119</v>
      </c>
      <c r="Q18" s="76" t="s">
        <v>120</v>
      </c>
      <c r="R18" s="76" t="s">
        <v>121</v>
      </c>
      <c r="S18" s="76" t="s">
        <v>122</v>
      </c>
    </row>
    <row r="19" spans="2:19">
      <c r="B19" s="107" t="s">
        <v>64</v>
      </c>
      <c r="C19">
        <v>1</v>
      </c>
      <c r="D19">
        <v>1</v>
      </c>
      <c r="E19" s="6">
        <v>1</v>
      </c>
      <c r="F19">
        <f t="shared" si="1"/>
        <v>1</v>
      </c>
      <c r="G19">
        <f t="shared" si="2"/>
        <v>1</v>
      </c>
      <c r="H19">
        <f t="shared" si="3"/>
        <v>1</v>
      </c>
      <c r="I19" s="4">
        <f>'Q13-Expt CCD'!M39</f>
        <v>2.605</v>
      </c>
      <c r="K19" t="s">
        <v>110</v>
      </c>
      <c r="L19">
        <v>2.2273944648648052</v>
      </c>
      <c r="M19">
        <v>0.41678374520037809</v>
      </c>
      <c r="N19">
        <v>5.3442450443789156</v>
      </c>
      <c r="O19">
        <v>1.9940215262650443E-5</v>
      </c>
      <c r="P19">
        <v>1.3652115984570892</v>
      </c>
      <c r="Q19">
        <v>3.0895773312725212</v>
      </c>
      <c r="R19">
        <v>1.3652115984570892</v>
      </c>
      <c r="S19">
        <v>3.0895773312725212</v>
      </c>
    </row>
    <row r="20" spans="2:19">
      <c r="B20" s="108"/>
      <c r="C20">
        <v>1</v>
      </c>
      <c r="D20">
        <v>-1</v>
      </c>
      <c r="E20" s="6">
        <v>1</v>
      </c>
      <c r="F20">
        <f t="shared" si="1"/>
        <v>1</v>
      </c>
      <c r="G20">
        <f t="shared" si="2"/>
        <v>1</v>
      </c>
      <c r="H20">
        <f t="shared" si="3"/>
        <v>1</v>
      </c>
      <c r="I20" s="4">
        <f>'Q13-Expt CCD'!M40</f>
        <v>1.7450000000000001</v>
      </c>
      <c r="K20" t="s">
        <v>123</v>
      </c>
      <c r="L20">
        <v>0.18593197311983209</v>
      </c>
      <c r="M20">
        <v>0.1134316486755776</v>
      </c>
      <c r="N20">
        <v>1.6391542862222734</v>
      </c>
      <c r="O20" s="93">
        <v>0.11478942457111738</v>
      </c>
      <c r="P20">
        <v>-4.8719270175281368E-2</v>
      </c>
      <c r="Q20">
        <v>0.42058321641494556</v>
      </c>
      <c r="R20">
        <v>-4.8719270175281368E-2</v>
      </c>
      <c r="S20">
        <v>0.42058321641494556</v>
      </c>
    </row>
    <row r="21" spans="2:19">
      <c r="B21" s="108"/>
      <c r="C21">
        <v>1</v>
      </c>
      <c r="D21">
        <v>1</v>
      </c>
      <c r="E21" s="6">
        <v>-1</v>
      </c>
      <c r="F21">
        <f t="shared" si="1"/>
        <v>1</v>
      </c>
      <c r="G21">
        <f t="shared" si="2"/>
        <v>1</v>
      </c>
      <c r="H21">
        <f t="shared" si="3"/>
        <v>1</v>
      </c>
      <c r="I21" s="4">
        <f>'Q13-Expt CCD'!M41</f>
        <v>1.49</v>
      </c>
      <c r="K21" t="s">
        <v>124</v>
      </c>
      <c r="L21">
        <v>0.10663373516134714</v>
      </c>
      <c r="M21">
        <v>0.1134316486755776</v>
      </c>
      <c r="N21">
        <v>0.94007039839760265</v>
      </c>
      <c r="O21">
        <v>0.3569504130557698</v>
      </c>
      <c r="P21">
        <v>-0.12801750813376631</v>
      </c>
      <c r="Q21">
        <v>0.34128497845646061</v>
      </c>
      <c r="R21">
        <v>-0.12801750813376631</v>
      </c>
      <c r="S21">
        <v>0.34128497845646061</v>
      </c>
    </row>
    <row r="22" spans="2:19">
      <c r="B22" s="108"/>
      <c r="C22">
        <v>1</v>
      </c>
      <c r="D22">
        <v>-1</v>
      </c>
      <c r="E22" s="6">
        <v>-1</v>
      </c>
      <c r="F22">
        <f t="shared" si="1"/>
        <v>1</v>
      </c>
      <c r="G22">
        <f t="shared" si="2"/>
        <v>1</v>
      </c>
      <c r="H22">
        <f t="shared" si="3"/>
        <v>1</v>
      </c>
      <c r="I22" s="4">
        <f>'Q13-Expt CCD'!M42</f>
        <v>1.74</v>
      </c>
      <c r="K22" t="s">
        <v>125</v>
      </c>
      <c r="L22">
        <v>0.1560635741860889</v>
      </c>
      <c r="M22">
        <v>0.1134316486755776</v>
      </c>
      <c r="N22">
        <v>1.3758380135374879</v>
      </c>
      <c r="O22" s="95">
        <v>0.1821228399155656</v>
      </c>
      <c r="P22">
        <v>-7.8587669109024552E-2</v>
      </c>
      <c r="Q22">
        <v>0.39071481748120235</v>
      </c>
      <c r="R22">
        <v>-7.8587669109024552E-2</v>
      </c>
      <c r="S22">
        <v>0.39071481748120235</v>
      </c>
    </row>
    <row r="23" spans="2:19">
      <c r="B23" s="108"/>
      <c r="C23">
        <v>-1</v>
      </c>
      <c r="D23">
        <v>1</v>
      </c>
      <c r="E23" s="6">
        <v>1</v>
      </c>
      <c r="F23">
        <f t="shared" si="1"/>
        <v>1</v>
      </c>
      <c r="G23">
        <f t="shared" si="2"/>
        <v>1</v>
      </c>
      <c r="H23">
        <f t="shared" si="3"/>
        <v>1</v>
      </c>
      <c r="I23" s="4">
        <f>'Q13-Expt CCD'!M43</f>
        <v>1.9350000000000001</v>
      </c>
      <c r="K23" t="s">
        <v>93</v>
      </c>
      <c r="L23">
        <v>-3.9407293601318102E-2</v>
      </c>
      <c r="M23">
        <v>0.17037628787211204</v>
      </c>
      <c r="N23">
        <v>-0.23129564620458237</v>
      </c>
      <c r="O23">
        <v>0.81913040871024401</v>
      </c>
      <c r="P23">
        <v>-0.39185749814290938</v>
      </c>
      <c r="Q23">
        <v>0.3130429109402732</v>
      </c>
      <c r="R23">
        <v>-0.39185749814290938</v>
      </c>
      <c r="S23">
        <v>0.3130429109402732</v>
      </c>
    </row>
    <row r="24" spans="2:19">
      <c r="B24" s="108"/>
      <c r="C24">
        <v>-1</v>
      </c>
      <c r="D24">
        <v>-1</v>
      </c>
      <c r="E24" s="6">
        <v>1</v>
      </c>
      <c r="F24">
        <f t="shared" si="1"/>
        <v>1</v>
      </c>
      <c r="G24">
        <f t="shared" si="2"/>
        <v>1</v>
      </c>
      <c r="H24">
        <f t="shared" si="3"/>
        <v>1</v>
      </c>
      <c r="I24" s="4">
        <f>'Q13-Expt CCD'!M44</f>
        <v>1.72</v>
      </c>
      <c r="K24" t="s">
        <v>95</v>
      </c>
      <c r="L24">
        <v>1.5821816186729384E-2</v>
      </c>
      <c r="M24">
        <v>0.17037628787211204</v>
      </c>
      <c r="N24">
        <v>9.2863956506703371E-2</v>
      </c>
      <c r="O24">
        <v>0.92681581254051526</v>
      </c>
      <c r="P24">
        <v>-0.33662838835486192</v>
      </c>
      <c r="Q24">
        <v>0.36827202072832066</v>
      </c>
      <c r="R24">
        <v>-0.33662838835486192</v>
      </c>
      <c r="S24">
        <v>0.36827202072832066</v>
      </c>
    </row>
    <row r="25" spans="2:19" ht="16" thickBot="1">
      <c r="B25" s="108"/>
      <c r="C25">
        <v>-1</v>
      </c>
      <c r="D25">
        <v>1</v>
      </c>
      <c r="E25" s="6">
        <v>-1</v>
      </c>
      <c r="F25">
        <f t="shared" si="1"/>
        <v>1</v>
      </c>
      <c r="G25">
        <f t="shared" si="2"/>
        <v>1</v>
      </c>
      <c r="H25">
        <f t="shared" si="3"/>
        <v>1</v>
      </c>
      <c r="I25" s="4">
        <f>'Q13-Expt CCD'!M45</f>
        <v>1.8900000000000001</v>
      </c>
      <c r="K25" s="75" t="s">
        <v>97</v>
      </c>
      <c r="L25" s="75">
        <v>-0.11010055413001882</v>
      </c>
      <c r="M25" s="75">
        <v>0.17037628787211204</v>
      </c>
      <c r="N25" s="75">
        <v>-0.64621993767502772</v>
      </c>
      <c r="O25" s="75">
        <v>0.5245331823663768</v>
      </c>
      <c r="P25" s="75">
        <v>-0.46255075867161011</v>
      </c>
      <c r="Q25" s="75">
        <v>0.24234965041157247</v>
      </c>
      <c r="R25" s="75">
        <v>-0.46255075867161011</v>
      </c>
      <c r="S25" s="75">
        <v>0.24234965041157247</v>
      </c>
    </row>
    <row r="26" spans="2:19">
      <c r="B26" s="108"/>
      <c r="C26">
        <v>-1</v>
      </c>
      <c r="D26">
        <v>-1</v>
      </c>
      <c r="E26" s="6">
        <v>-1</v>
      </c>
      <c r="F26">
        <f t="shared" si="1"/>
        <v>1</v>
      </c>
      <c r="G26">
        <f t="shared" si="2"/>
        <v>1</v>
      </c>
      <c r="H26">
        <f t="shared" si="3"/>
        <v>1</v>
      </c>
      <c r="I26" s="4">
        <f>'Q13-Expt CCD'!M46</f>
        <v>1.31</v>
      </c>
    </row>
    <row r="27" spans="2:19">
      <c r="B27" s="108"/>
      <c r="C27">
        <v>-1.6819999999999999</v>
      </c>
      <c r="D27">
        <v>0</v>
      </c>
      <c r="E27" s="6">
        <v>0</v>
      </c>
      <c r="F27">
        <f t="shared" si="1"/>
        <v>2.8291239999999998</v>
      </c>
      <c r="G27">
        <f t="shared" si="2"/>
        <v>0</v>
      </c>
      <c r="H27">
        <f t="shared" si="3"/>
        <v>0</v>
      </c>
      <c r="I27" s="4">
        <f>'Q13-Expt CCD'!M47</f>
        <v>2.02</v>
      </c>
    </row>
    <row r="28" spans="2:19">
      <c r="B28" s="108"/>
      <c r="C28">
        <v>1.6819999999999999</v>
      </c>
      <c r="D28">
        <v>0</v>
      </c>
      <c r="E28" s="6">
        <v>0</v>
      </c>
      <c r="F28">
        <f t="shared" si="1"/>
        <v>2.8291239999999998</v>
      </c>
      <c r="G28">
        <f t="shared" si="2"/>
        <v>0</v>
      </c>
      <c r="H28">
        <f t="shared" si="3"/>
        <v>0</v>
      </c>
      <c r="I28" s="4">
        <f>'Q13-Expt CCD'!M48</f>
        <v>2.1950000000000003</v>
      </c>
    </row>
    <row r="29" spans="2:19">
      <c r="B29" s="108"/>
      <c r="C29">
        <v>0</v>
      </c>
      <c r="D29">
        <v>-1.6819999999999999</v>
      </c>
      <c r="E29" s="6">
        <v>0</v>
      </c>
      <c r="F29">
        <f t="shared" si="1"/>
        <v>0</v>
      </c>
      <c r="G29">
        <f t="shared" si="2"/>
        <v>2.8291239999999998</v>
      </c>
      <c r="H29">
        <f t="shared" si="3"/>
        <v>0</v>
      </c>
      <c r="I29" s="4">
        <f>'Q13-Expt CCD'!M49</f>
        <v>1.135</v>
      </c>
    </row>
    <row r="30" spans="2:19">
      <c r="B30" s="108"/>
      <c r="C30">
        <v>0</v>
      </c>
      <c r="D30">
        <v>1.6819999999999999</v>
      </c>
      <c r="E30" s="6">
        <v>0</v>
      </c>
      <c r="F30">
        <f t="shared" si="1"/>
        <v>0</v>
      </c>
      <c r="G30">
        <f t="shared" si="2"/>
        <v>2.8291239999999998</v>
      </c>
      <c r="H30">
        <f t="shared" si="3"/>
        <v>0</v>
      </c>
      <c r="I30" s="4">
        <f>'Q13-Expt CCD'!M50</f>
        <v>2.7750000000000004</v>
      </c>
    </row>
    <row r="31" spans="2:19">
      <c r="B31" s="108"/>
      <c r="C31">
        <v>0</v>
      </c>
      <c r="D31">
        <v>0</v>
      </c>
      <c r="E31" s="6">
        <v>-1.6819999999999999</v>
      </c>
      <c r="F31">
        <f t="shared" si="1"/>
        <v>0</v>
      </c>
      <c r="G31">
        <f t="shared" si="2"/>
        <v>0</v>
      </c>
      <c r="H31">
        <f t="shared" si="3"/>
        <v>2.8291239999999998</v>
      </c>
      <c r="I31" s="4">
        <f>'Q13-Expt CCD'!M51</f>
        <v>1.28</v>
      </c>
    </row>
    <row r="32" spans="2:19">
      <c r="B32" s="108"/>
      <c r="C32">
        <v>0</v>
      </c>
      <c r="D32">
        <v>0</v>
      </c>
      <c r="E32" s="6">
        <v>1.6819999999999999</v>
      </c>
      <c r="F32">
        <f t="shared" si="1"/>
        <v>0</v>
      </c>
      <c r="G32">
        <f t="shared" si="2"/>
        <v>0</v>
      </c>
      <c r="H32">
        <f t="shared" si="3"/>
        <v>2.8291239999999998</v>
      </c>
      <c r="I32" s="4">
        <f>'Q13-Expt CCD'!M52</f>
        <v>2.0350000000000001</v>
      </c>
    </row>
    <row r="33" spans="2:9">
      <c r="B33" s="109"/>
      <c r="C33" s="3">
        <v>0</v>
      </c>
      <c r="D33" s="3">
        <v>0</v>
      </c>
      <c r="E33" s="7">
        <v>0</v>
      </c>
      <c r="F33" s="3">
        <f t="shared" si="1"/>
        <v>0</v>
      </c>
      <c r="G33" s="3">
        <f t="shared" si="2"/>
        <v>0</v>
      </c>
      <c r="H33" s="3">
        <f t="shared" si="3"/>
        <v>0</v>
      </c>
      <c r="I33" s="5">
        <f>'Q13-Expt CCD'!M53</f>
        <v>2.2749999999999999</v>
      </c>
    </row>
    <row r="36" spans="2:9">
      <c r="B36" s="113" t="s">
        <v>127</v>
      </c>
      <c r="C36" s="114"/>
      <c r="D36" s="114"/>
      <c r="E36" s="114"/>
      <c r="F36" s="114"/>
      <c r="G36" s="114"/>
      <c r="H36" s="114"/>
      <c r="I36" s="115"/>
    </row>
    <row r="37" spans="2:9" ht="15" customHeight="1">
      <c r="B37" s="116"/>
      <c r="C37" s="117"/>
      <c r="D37" s="117"/>
      <c r="E37" s="117"/>
      <c r="F37" s="117"/>
      <c r="G37" s="117"/>
      <c r="H37" s="117"/>
      <c r="I37" s="118"/>
    </row>
    <row r="38" spans="2:9" ht="15" customHeight="1" thickBot="1"/>
    <row r="39" spans="2:9">
      <c r="B39" s="76"/>
      <c r="C39" s="76" t="s">
        <v>123</v>
      </c>
      <c r="D39" s="76" t="s">
        <v>124</v>
      </c>
      <c r="E39" s="76" t="s">
        <v>125</v>
      </c>
      <c r="F39" s="76" t="s">
        <v>93</v>
      </c>
      <c r="G39" s="76" t="s">
        <v>95</v>
      </c>
      <c r="H39" s="76" t="s">
        <v>97</v>
      </c>
      <c r="I39" s="76" t="s">
        <v>82</v>
      </c>
    </row>
    <row r="40" spans="2:9">
      <c r="B40" t="s">
        <v>123</v>
      </c>
      <c r="C40">
        <v>1</v>
      </c>
    </row>
    <row r="41" spans="2:9">
      <c r="B41" t="s">
        <v>124</v>
      </c>
      <c r="C41">
        <v>0</v>
      </c>
      <c r="D41">
        <v>1</v>
      </c>
    </row>
    <row r="42" spans="2:9">
      <c r="B42" t="s">
        <v>125</v>
      </c>
      <c r="C42">
        <v>0</v>
      </c>
      <c r="D42">
        <v>0</v>
      </c>
      <c r="E42">
        <v>1</v>
      </c>
    </row>
    <row r="43" spans="2:9">
      <c r="B43" t="s">
        <v>93</v>
      </c>
      <c r="C43">
        <v>0</v>
      </c>
      <c r="D43">
        <v>0</v>
      </c>
      <c r="E43">
        <v>0</v>
      </c>
      <c r="F43">
        <v>1</v>
      </c>
    </row>
    <row r="44" spans="2:9">
      <c r="B44" t="s">
        <v>95</v>
      </c>
      <c r="C44">
        <v>0</v>
      </c>
      <c r="D44">
        <v>0</v>
      </c>
      <c r="E44">
        <v>0</v>
      </c>
      <c r="F44">
        <v>-0.38340457147473295</v>
      </c>
      <c r="G44">
        <v>1</v>
      </c>
    </row>
    <row r="45" spans="2:9">
      <c r="B45" t="s">
        <v>97</v>
      </c>
      <c r="C45">
        <v>0</v>
      </c>
      <c r="D45">
        <v>0</v>
      </c>
      <c r="E45">
        <v>0</v>
      </c>
      <c r="F45">
        <v>-0.38340457147473311</v>
      </c>
      <c r="G45">
        <v>-0.38340457147473311</v>
      </c>
      <c r="H45">
        <v>1</v>
      </c>
    </row>
    <row r="46" spans="2:9" ht="16" thickBot="1">
      <c r="B46" s="75" t="s">
        <v>82</v>
      </c>
      <c r="C46" s="75">
        <f>CORREL(C4:C33, $I4:$I33)</f>
        <v>0.30292043381931816</v>
      </c>
      <c r="D46" s="75">
        <f t="shared" ref="D46:I46" si="4">CORREL(D4:D33, $I4:$I33)</f>
        <v>0.17372771757782307</v>
      </c>
      <c r="E46" s="75">
        <f t="shared" si="4"/>
        <v>0.25425882812191225</v>
      </c>
      <c r="F46" s="75">
        <f t="shared" si="4"/>
        <v>-4.8892193488599255E-3</v>
      </c>
      <c r="G46" s="75">
        <f t="shared" si="4"/>
        <v>0.10968492485989195</v>
      </c>
      <c r="H46" s="75">
        <f t="shared" si="4"/>
        <v>-0.15154412393606223</v>
      </c>
      <c r="I46" s="75">
        <f t="shared" si="4"/>
        <v>0.99999999999999989</v>
      </c>
    </row>
  </sheetData>
  <mergeCells count="5">
    <mergeCell ref="B1:I2"/>
    <mergeCell ref="B3:B18"/>
    <mergeCell ref="B19:B33"/>
    <mergeCell ref="B36:I37"/>
    <mergeCell ref="K1:S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86A4-00DF-214D-AE46-3FC6507CD0B4}">
  <dimension ref="A1:N48"/>
  <sheetViews>
    <sheetView zoomScale="108" workbookViewId="0">
      <selection activeCell="I25" sqref="I25"/>
    </sheetView>
  </sheetViews>
  <sheetFormatPr baseColWidth="10" defaultRowHeight="15"/>
  <sheetData>
    <row r="1" spans="2:14" ht="16" customHeight="1">
      <c r="B1" s="113" t="s">
        <v>92</v>
      </c>
      <c r="C1" s="114"/>
      <c r="D1" s="115"/>
      <c r="E1" s="38"/>
      <c r="F1" s="103" t="s">
        <v>18</v>
      </c>
      <c r="G1" s="103"/>
      <c r="H1" s="103"/>
      <c r="I1" s="103"/>
      <c r="J1" s="103"/>
      <c r="K1" s="103"/>
      <c r="L1" s="103"/>
      <c r="M1" s="103"/>
      <c r="N1" s="103"/>
    </row>
    <row r="2" spans="2:14" ht="15" customHeight="1">
      <c r="B2" s="116"/>
      <c r="C2" s="117"/>
      <c r="D2" s="118"/>
      <c r="E2" s="38"/>
      <c r="F2" s="103"/>
      <c r="G2" s="103"/>
      <c r="H2" s="103"/>
      <c r="I2" s="103"/>
      <c r="J2" s="103"/>
      <c r="K2" s="103"/>
      <c r="L2" s="103"/>
      <c r="M2" s="103"/>
      <c r="N2" s="103"/>
    </row>
    <row r="3" spans="2:14" ht="15" customHeight="1">
      <c r="B3" s="107" t="s">
        <v>63</v>
      </c>
      <c r="C3" s="14" t="s">
        <v>0</v>
      </c>
      <c r="D3" s="12" t="s">
        <v>21</v>
      </c>
      <c r="F3" t="s">
        <v>99</v>
      </c>
    </row>
    <row r="4" spans="2:14" ht="16" thickBot="1">
      <c r="B4" s="108"/>
      <c r="C4">
        <v>1</v>
      </c>
      <c r="D4" s="4">
        <f>'Q13-Expt CCD'!M24</f>
        <v>3.4550000000000001</v>
      </c>
    </row>
    <row r="5" spans="2:14">
      <c r="B5" s="108"/>
      <c r="C5">
        <v>1</v>
      </c>
      <c r="D5" s="4">
        <f>'Q13-Expt CCD'!M25</f>
        <v>2.09</v>
      </c>
      <c r="F5" s="92" t="s">
        <v>100</v>
      </c>
      <c r="G5" s="92"/>
    </row>
    <row r="6" spans="2:14">
      <c r="B6" s="108"/>
      <c r="C6">
        <v>1</v>
      </c>
      <c r="D6" s="4">
        <f>'Q13-Expt CCD'!M26</f>
        <v>3.2050000000000001</v>
      </c>
      <c r="F6" t="s">
        <v>101</v>
      </c>
      <c r="G6">
        <v>0.30292043381931771</v>
      </c>
    </row>
    <row r="7" spans="2:14">
      <c r="B7" s="108"/>
      <c r="C7">
        <v>1</v>
      </c>
      <c r="D7" s="4">
        <f>'Q13-Expt CCD'!M27</f>
        <v>1.87</v>
      </c>
      <c r="F7" s="101" t="s">
        <v>102</v>
      </c>
      <c r="G7" s="100">
        <v>9.1760789225283648E-2</v>
      </c>
    </row>
    <row r="8" spans="2:14">
      <c r="B8" s="108"/>
      <c r="C8">
        <v>-1</v>
      </c>
      <c r="D8" s="4">
        <f>'Q13-Expt CCD'!M28</f>
        <v>1.52</v>
      </c>
      <c r="F8" s="100" t="s">
        <v>103</v>
      </c>
      <c r="G8" s="100">
        <v>5.9323674554758066E-2</v>
      </c>
    </row>
    <row r="9" spans="2:14">
      <c r="B9" s="108"/>
      <c r="C9">
        <v>-1</v>
      </c>
      <c r="D9" s="4">
        <f>'Q13-Expt CCD'!M29</f>
        <v>2.6799999999999997</v>
      </c>
      <c r="F9" t="s">
        <v>104</v>
      </c>
      <c r="G9">
        <v>0.57777548518530808</v>
      </c>
    </row>
    <row r="10" spans="2:14" ht="16" thickBot="1">
      <c r="B10" s="108"/>
      <c r="C10">
        <v>-1</v>
      </c>
      <c r="D10" s="4">
        <f>'Q13-Expt CCD'!M30</f>
        <v>1.08</v>
      </c>
      <c r="F10" s="75" t="s">
        <v>105</v>
      </c>
      <c r="G10" s="75">
        <v>30</v>
      </c>
    </row>
    <row r="11" spans="2:14">
      <c r="B11" s="108"/>
      <c r="C11" s="4">
        <v>-1</v>
      </c>
      <c r="D11" s="6">
        <f>'Q13-Expt CCD'!M31</f>
        <v>2.34</v>
      </c>
    </row>
    <row r="12" spans="2:14" ht="16" thickBot="1">
      <c r="B12" s="108"/>
      <c r="C12">
        <v>-1.6819999999999999</v>
      </c>
      <c r="D12" s="4">
        <f>'Q13-Expt CCD'!M32</f>
        <v>1.9549999999999998</v>
      </c>
      <c r="F12" t="s">
        <v>106</v>
      </c>
    </row>
    <row r="13" spans="2:14">
      <c r="B13" s="108"/>
      <c r="C13">
        <v>1.6819999999999999</v>
      </c>
      <c r="D13" s="4">
        <f>'Q13-Expt CCD'!M33</f>
        <v>2.585</v>
      </c>
      <c r="F13" s="76"/>
      <c r="G13" s="76" t="s">
        <v>111</v>
      </c>
      <c r="H13" s="76" t="s">
        <v>112</v>
      </c>
      <c r="I13" s="76" t="s">
        <v>113</v>
      </c>
      <c r="J13" s="76" t="s">
        <v>114</v>
      </c>
      <c r="K13" s="76" t="s">
        <v>115</v>
      </c>
    </row>
    <row r="14" spans="2:14">
      <c r="B14" s="108"/>
      <c r="C14">
        <v>0</v>
      </c>
      <c r="D14" s="4">
        <f>'Q13-Expt CCD'!M34</f>
        <v>3.1900000000000004</v>
      </c>
      <c r="F14" t="s">
        <v>107</v>
      </c>
      <c r="G14">
        <v>1</v>
      </c>
      <c r="H14">
        <v>0.94435035079535545</v>
      </c>
      <c r="I14">
        <v>0.94435035079535545</v>
      </c>
      <c r="J14">
        <v>2.8288825981388319</v>
      </c>
      <c r="K14">
        <v>0.10370448787907703</v>
      </c>
    </row>
    <row r="15" spans="2:14">
      <c r="B15" s="108"/>
      <c r="C15">
        <v>0</v>
      </c>
      <c r="D15" s="4">
        <f>'Q13-Expt CCD'!M35</f>
        <v>2.2799999999999998</v>
      </c>
      <c r="F15" t="s">
        <v>108</v>
      </c>
      <c r="G15">
        <v>28</v>
      </c>
      <c r="H15">
        <v>9.3470863158713087</v>
      </c>
      <c r="I15">
        <v>0.33382451128111817</v>
      </c>
    </row>
    <row r="16" spans="2:14" ht="16" thickBot="1">
      <c r="B16" s="108"/>
      <c r="C16">
        <v>0</v>
      </c>
      <c r="D16" s="4">
        <f>'Q13-Expt CCD'!M36</f>
        <v>2.27</v>
      </c>
      <c r="F16" s="75" t="s">
        <v>109</v>
      </c>
      <c r="G16" s="75">
        <v>29</v>
      </c>
      <c r="H16" s="75">
        <v>10.291436666666664</v>
      </c>
      <c r="I16" s="75"/>
      <c r="J16" s="75"/>
      <c r="K16" s="75"/>
    </row>
    <row r="17" spans="2:14" ht="16" thickBot="1">
      <c r="B17" s="108"/>
      <c r="C17">
        <v>0</v>
      </c>
      <c r="D17" s="4">
        <f>'Q13-Expt CCD'!M37</f>
        <v>2.37</v>
      </c>
    </row>
    <row r="18" spans="2:14">
      <c r="B18" s="109"/>
      <c r="C18" s="3">
        <v>0</v>
      </c>
      <c r="D18" s="5">
        <f>'Q13-Expt CCD'!M38</f>
        <v>2.13</v>
      </c>
      <c r="F18" s="76"/>
      <c r="G18" s="76" t="s">
        <v>116</v>
      </c>
      <c r="H18" s="76" t="s">
        <v>104</v>
      </c>
      <c r="I18" s="76" t="s">
        <v>117</v>
      </c>
      <c r="J18" s="76" t="s">
        <v>118</v>
      </c>
      <c r="K18" s="76" t="s">
        <v>119</v>
      </c>
      <c r="L18" s="76" t="s">
        <v>120</v>
      </c>
      <c r="M18" s="76" t="s">
        <v>121</v>
      </c>
      <c r="N18" s="76" t="s">
        <v>122</v>
      </c>
    </row>
    <row r="19" spans="2:14">
      <c r="B19" s="107" t="s">
        <v>64</v>
      </c>
      <c r="C19">
        <v>1</v>
      </c>
      <c r="D19" s="4">
        <f>'Q13-Expt CCD'!M39</f>
        <v>2.605</v>
      </c>
      <c r="F19" t="s">
        <v>110</v>
      </c>
      <c r="G19">
        <v>2.105666666666667</v>
      </c>
      <c r="H19">
        <v>0.1054868888031617</v>
      </c>
      <c r="I19">
        <v>19.96140648906459</v>
      </c>
      <c r="J19">
        <v>4.267441547515693E-18</v>
      </c>
      <c r="K19">
        <v>1.8895865702765098</v>
      </c>
      <c r="L19">
        <v>2.3217467630568245</v>
      </c>
      <c r="M19">
        <v>1.8895865702765098</v>
      </c>
      <c r="N19">
        <v>2.3217467630568245</v>
      </c>
    </row>
    <row r="20" spans="2:14" ht="16" thickBot="1">
      <c r="B20" s="108"/>
      <c r="C20">
        <v>1</v>
      </c>
      <c r="D20" s="4">
        <f>'Q13-Expt CCD'!M40</f>
        <v>1.7450000000000001</v>
      </c>
      <c r="F20" s="75" t="s">
        <v>123</v>
      </c>
      <c r="G20" s="75">
        <v>0.18593197311983214</v>
      </c>
      <c r="H20" s="75">
        <v>0.11054691211391511</v>
      </c>
      <c r="I20" s="75">
        <v>1.6819282381061453</v>
      </c>
      <c r="J20" s="75">
        <v>0.10370448787907637</v>
      </c>
      <c r="K20" s="75">
        <v>-4.0513111157722798E-2</v>
      </c>
      <c r="L20" s="75">
        <v>0.41237705739738711</v>
      </c>
      <c r="M20" s="75">
        <v>-4.0513111157722798E-2</v>
      </c>
      <c r="N20" s="75">
        <v>0.41237705739738711</v>
      </c>
    </row>
    <row r="21" spans="2:14">
      <c r="B21" s="108"/>
      <c r="C21">
        <v>1</v>
      </c>
      <c r="D21" s="4">
        <f>'Q13-Expt CCD'!M41</f>
        <v>1.49</v>
      </c>
    </row>
    <row r="22" spans="2:14">
      <c r="B22" s="108"/>
      <c r="C22">
        <v>1</v>
      </c>
      <c r="D22" s="4">
        <f>'Q13-Expt CCD'!M42</f>
        <v>1.74</v>
      </c>
    </row>
    <row r="23" spans="2:14">
      <c r="B23" s="108"/>
      <c r="C23">
        <v>-1</v>
      </c>
      <c r="D23" s="4">
        <f>'Q13-Expt CCD'!M43</f>
        <v>1.9350000000000001</v>
      </c>
    </row>
    <row r="24" spans="2:14">
      <c r="B24" s="108"/>
      <c r="C24">
        <v>-1</v>
      </c>
      <c r="D24" s="4">
        <f>'Q13-Expt CCD'!M44</f>
        <v>1.72</v>
      </c>
    </row>
    <row r="25" spans="2:14">
      <c r="B25" s="108"/>
      <c r="C25">
        <v>-1</v>
      </c>
      <c r="D25" s="4">
        <f>'Q13-Expt CCD'!M45</f>
        <v>1.8900000000000001</v>
      </c>
    </row>
    <row r="26" spans="2:14">
      <c r="B26" s="108"/>
      <c r="C26">
        <v>-1</v>
      </c>
      <c r="D26" s="4">
        <f>'Q13-Expt CCD'!M46</f>
        <v>1.31</v>
      </c>
    </row>
    <row r="27" spans="2:14">
      <c r="B27" s="108"/>
      <c r="C27">
        <v>-1.6819999999999999</v>
      </c>
      <c r="D27" s="4">
        <f>'Q13-Expt CCD'!M47</f>
        <v>2.02</v>
      </c>
    </row>
    <row r="28" spans="2:14" ht="15" customHeight="1">
      <c r="B28" s="108"/>
      <c r="C28">
        <v>1.6819999999999999</v>
      </c>
      <c r="D28" s="4">
        <f>'Q13-Expt CCD'!M48</f>
        <v>2.1950000000000003</v>
      </c>
    </row>
    <row r="29" spans="2:14">
      <c r="B29" s="108"/>
      <c r="C29">
        <v>0</v>
      </c>
      <c r="D29" s="4">
        <f>'Q13-Expt CCD'!M49</f>
        <v>1.135</v>
      </c>
    </row>
    <row r="30" spans="2:14">
      <c r="B30" s="108"/>
      <c r="C30">
        <v>0</v>
      </c>
      <c r="D30" s="4">
        <f>'Q13-Expt CCD'!M50</f>
        <v>2.7750000000000004</v>
      </c>
    </row>
    <row r="31" spans="2:14">
      <c r="B31" s="108"/>
      <c r="C31">
        <v>0</v>
      </c>
      <c r="D31" s="4">
        <f>'Q13-Expt CCD'!M51</f>
        <v>1.28</v>
      </c>
    </row>
    <row r="32" spans="2:14">
      <c r="B32" s="108"/>
      <c r="C32">
        <v>0</v>
      </c>
      <c r="D32" s="4">
        <f>'Q13-Expt CCD'!M52</f>
        <v>2.0350000000000001</v>
      </c>
    </row>
    <row r="33" spans="1:10">
      <c r="B33" s="109"/>
      <c r="C33" s="3">
        <v>0</v>
      </c>
      <c r="D33" s="5">
        <f>'Q13-Expt CCD'!M53</f>
        <v>2.2749999999999999</v>
      </c>
    </row>
    <row r="35" spans="1:10">
      <c r="A35" s="77"/>
      <c r="B35" s="77"/>
      <c r="C35" s="77"/>
      <c r="D35" s="77"/>
      <c r="E35" s="77"/>
    </row>
    <row r="36" spans="1:10" ht="15" customHeight="1">
      <c r="A36" s="77"/>
      <c r="B36" s="79"/>
      <c r="C36" s="79"/>
      <c r="D36" s="79"/>
      <c r="E36" s="79"/>
    </row>
    <row r="37" spans="1:10" ht="15" customHeight="1">
      <c r="A37" s="77"/>
      <c r="B37" s="79"/>
      <c r="C37" s="79"/>
      <c r="D37" s="79"/>
      <c r="E37" s="79"/>
      <c r="F37" s="79"/>
      <c r="G37" s="79"/>
      <c r="H37" s="79"/>
      <c r="I37" s="79"/>
      <c r="J37" s="77"/>
    </row>
    <row r="38" spans="1:10" ht="1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</row>
    <row r="39" spans="1:10">
      <c r="A39" s="77"/>
      <c r="B39" s="78"/>
      <c r="C39" s="78"/>
      <c r="D39" s="78"/>
      <c r="E39" s="78"/>
      <c r="F39" s="78"/>
      <c r="G39" s="78"/>
      <c r="H39" s="78"/>
      <c r="I39" s="78"/>
      <c r="J39" s="77"/>
    </row>
    <row r="40" spans="1:10">
      <c r="A40" s="77"/>
      <c r="B40" s="77"/>
      <c r="C40" s="77"/>
      <c r="D40" s="77"/>
      <c r="E40" s="77"/>
      <c r="F40" s="77"/>
      <c r="G40" s="77"/>
      <c r="H40" s="77"/>
      <c r="I40" s="77"/>
      <c r="J40" s="77"/>
    </row>
    <row r="41" spans="1:10">
      <c r="A41" s="77"/>
      <c r="B41" s="77"/>
      <c r="C41" s="77"/>
      <c r="D41" s="77"/>
      <c r="E41" s="77"/>
      <c r="F41" s="77"/>
      <c r="G41" s="77"/>
      <c r="H41" s="77"/>
      <c r="I41" s="77"/>
      <c r="J41" s="77"/>
    </row>
    <row r="42" spans="1:10">
      <c r="A42" s="77"/>
      <c r="B42" s="77"/>
      <c r="C42" s="77"/>
      <c r="D42" s="77"/>
      <c r="E42" s="77"/>
      <c r="F42" s="77"/>
      <c r="G42" s="77"/>
      <c r="H42" s="77"/>
      <c r="I42" s="77"/>
      <c r="J42" s="77"/>
    </row>
    <row r="43" spans="1:10">
      <c r="A43" s="77"/>
      <c r="B43" s="77"/>
      <c r="C43" s="77"/>
      <c r="D43" s="77"/>
      <c r="E43" s="77"/>
      <c r="F43" s="77"/>
      <c r="G43" s="77"/>
      <c r="H43" s="77"/>
      <c r="I43" s="77"/>
      <c r="J43" s="77"/>
    </row>
    <row r="44" spans="1:10">
      <c r="A44" s="77"/>
      <c r="B44" s="77"/>
      <c r="C44" s="77"/>
      <c r="D44" s="77"/>
      <c r="E44" s="77"/>
      <c r="F44" s="77"/>
      <c r="G44" s="77"/>
      <c r="H44" s="77"/>
      <c r="I44" s="77"/>
      <c r="J44" s="77"/>
    </row>
    <row r="45" spans="1:10">
      <c r="A45" s="77"/>
      <c r="B45" s="77"/>
      <c r="C45" s="77"/>
      <c r="D45" s="77"/>
      <c r="E45" s="77"/>
      <c r="F45" s="77"/>
      <c r="G45" s="77"/>
      <c r="H45" s="77"/>
      <c r="I45" s="77"/>
      <c r="J45" s="77"/>
    </row>
    <row r="46" spans="1:10">
      <c r="A46" s="77"/>
      <c r="B46" s="77"/>
      <c r="C46" s="77"/>
      <c r="D46" s="77"/>
      <c r="E46" s="77"/>
      <c r="F46" s="77"/>
      <c r="G46" s="77"/>
      <c r="H46" s="77"/>
      <c r="I46" s="77"/>
      <c r="J46" s="77"/>
    </row>
    <row r="47" spans="1:10">
      <c r="A47" s="77"/>
      <c r="B47" s="77"/>
      <c r="C47" s="77"/>
      <c r="D47" s="77"/>
      <c r="E47" s="77"/>
      <c r="F47" s="77"/>
      <c r="G47" s="77"/>
      <c r="H47" s="77"/>
      <c r="I47" s="77"/>
      <c r="J47" s="77"/>
    </row>
    <row r="48" spans="1:10">
      <c r="A48" s="77"/>
      <c r="B48" s="77"/>
      <c r="C48" s="77"/>
      <c r="D48" s="77"/>
      <c r="E48" s="77"/>
      <c r="F48" s="77"/>
      <c r="G48" s="77"/>
      <c r="H48" s="77"/>
      <c r="I48" s="77"/>
      <c r="J48" s="77"/>
    </row>
  </sheetData>
  <mergeCells count="4">
    <mergeCell ref="F1:N2"/>
    <mergeCell ref="B3:B18"/>
    <mergeCell ref="B19:B33"/>
    <mergeCell ref="B1:D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EE46-A150-C94F-88D9-09EEEC292272}">
  <dimension ref="B1:K38"/>
  <sheetViews>
    <sheetView zoomScale="86" workbookViewId="0">
      <selection activeCell="H33" sqref="H33"/>
    </sheetView>
  </sheetViews>
  <sheetFormatPr baseColWidth="10" defaultRowHeight="15"/>
  <cols>
    <col min="10" max="10" width="11.1640625" bestFit="1" customWidth="1"/>
  </cols>
  <sheetData>
    <row r="1" spans="2:11">
      <c r="B1" s="103" t="s">
        <v>73</v>
      </c>
      <c r="C1" s="103"/>
      <c r="D1" s="103"/>
      <c r="E1" s="103"/>
      <c r="F1" s="103"/>
      <c r="G1" s="103"/>
      <c r="H1" s="103"/>
      <c r="I1" s="103"/>
      <c r="J1" s="103"/>
      <c r="K1" s="103"/>
    </row>
    <row r="2" spans="2:11" ht="15" customHeight="1">
      <c r="B2" s="103"/>
      <c r="C2" s="103"/>
      <c r="D2" s="103"/>
      <c r="E2" s="103"/>
      <c r="F2" s="103"/>
      <c r="G2" s="103"/>
      <c r="H2" s="103"/>
      <c r="I2" s="103"/>
      <c r="J2" s="132"/>
      <c r="K2" s="132"/>
    </row>
    <row r="3" spans="2:11" ht="15" customHeight="1">
      <c r="B3" s="14"/>
      <c r="C3" s="63" t="s">
        <v>76</v>
      </c>
      <c r="D3" s="14" t="s">
        <v>0</v>
      </c>
      <c r="E3" s="11" t="s">
        <v>1</v>
      </c>
      <c r="F3" s="11" t="s">
        <v>2</v>
      </c>
      <c r="G3" s="63" t="s">
        <v>21</v>
      </c>
      <c r="H3" s="64" t="s">
        <v>74</v>
      </c>
      <c r="I3" s="64" t="s">
        <v>75</v>
      </c>
      <c r="J3" s="63" t="s">
        <v>80</v>
      </c>
      <c r="K3" s="69" t="s">
        <v>79</v>
      </c>
    </row>
    <row r="4" spans="2:11">
      <c r="B4" s="145" t="s">
        <v>63</v>
      </c>
      <c r="C4" s="1">
        <f>'Q5-Expt Factorial'!M18</f>
        <v>16</v>
      </c>
      <c r="D4" s="1">
        <v>1</v>
      </c>
      <c r="E4">
        <v>1</v>
      </c>
      <c r="F4">
        <v>1</v>
      </c>
      <c r="G4" s="1">
        <f>'Q13-Expt CCD'!M24</f>
        <v>3.4550000000000001</v>
      </c>
      <c r="H4">
        <f>2.11 + 0.19 *D4</f>
        <v>2.2999999999999998</v>
      </c>
      <c r="I4">
        <f>G4-H4</f>
        <v>1.1550000000000002</v>
      </c>
      <c r="J4" s="1" cm="1">
        <f t="array" ref="J4:J33">_xlfn._xlws.SORT(I4:I33)</f>
        <v>-0.97499999999999987</v>
      </c>
      <c r="K4" s="70">
        <f>_xlfn.NORM.INV((ROW(A1) - 0.5) / 32, AVERAGE(I$4:I$33), STDEV(I$4:I$33))</f>
        <v>-1.2271745349092631</v>
      </c>
    </row>
    <row r="5" spans="2:11">
      <c r="B5" s="145"/>
      <c r="C5" s="1">
        <f>'Q5-Expt Factorial'!M19</f>
        <v>4</v>
      </c>
      <c r="D5" s="1">
        <v>1</v>
      </c>
      <c r="E5">
        <v>-1</v>
      </c>
      <c r="F5">
        <v>1</v>
      </c>
      <c r="G5" s="1">
        <f>'Q13-Expt CCD'!M25</f>
        <v>2.09</v>
      </c>
      <c r="H5">
        <f t="shared" ref="H5:H33" si="0">2.11 + 0.19 *D5</f>
        <v>2.2999999999999998</v>
      </c>
      <c r="I5">
        <f t="shared" ref="I5:I33" si="1">G5-H5</f>
        <v>-0.20999999999999996</v>
      </c>
      <c r="J5" s="1">
        <v>-0.83999999999999986</v>
      </c>
      <c r="K5" s="70">
        <f t="shared" ref="K5:K33" si="2">_xlfn.NORM.INV((ROW(A2) - 0.5) / 32, AVERAGE(I$4:I$33), STDEV(I$4:I$33))</f>
        <v>-0.95583164937540555</v>
      </c>
    </row>
    <row r="6" spans="2:11">
      <c r="B6" s="145"/>
      <c r="C6" s="1">
        <f>'Q5-Expt Factorial'!M20</f>
        <v>6</v>
      </c>
      <c r="D6" s="1">
        <v>1</v>
      </c>
      <c r="E6">
        <v>1</v>
      </c>
      <c r="F6">
        <v>-1</v>
      </c>
      <c r="G6" s="1">
        <f>'Q13-Expt CCD'!M26</f>
        <v>3.2050000000000001</v>
      </c>
      <c r="H6">
        <f t="shared" si="0"/>
        <v>2.2999999999999998</v>
      </c>
      <c r="I6">
        <f t="shared" si="1"/>
        <v>0.90500000000000025</v>
      </c>
      <c r="J6" s="1">
        <v>-0.82999999999999985</v>
      </c>
      <c r="K6" s="70">
        <f t="shared" si="2"/>
        <v>-0.80927373241896494</v>
      </c>
    </row>
    <row r="7" spans="2:11" ht="16" customHeight="1">
      <c r="B7" s="145"/>
      <c r="C7" s="1">
        <f>'Q5-Expt Factorial'!M21</f>
        <v>9</v>
      </c>
      <c r="D7" s="1">
        <v>1</v>
      </c>
      <c r="E7">
        <v>-1</v>
      </c>
      <c r="F7">
        <v>-1</v>
      </c>
      <c r="G7" s="1">
        <f>'Q13-Expt CCD'!M27</f>
        <v>1.87</v>
      </c>
      <c r="H7">
        <f t="shared" si="0"/>
        <v>2.2999999999999998</v>
      </c>
      <c r="I7">
        <f t="shared" si="1"/>
        <v>-0.42999999999999972</v>
      </c>
      <c r="J7" s="1">
        <v>-0.80999999999999983</v>
      </c>
      <c r="K7" s="70">
        <f>_xlfn.NORM.INV((ROW(A4) - 0.5) / 32, AVERAGE(I$4:I$33), STDEV(I$4:I$33))</f>
        <v>-0.70257356385167613</v>
      </c>
    </row>
    <row r="8" spans="2:11" ht="15" customHeight="1">
      <c r="B8" s="145"/>
      <c r="C8" s="1">
        <f>'Q5-Expt Factorial'!M22</f>
        <v>12</v>
      </c>
      <c r="D8" s="1">
        <v>-1</v>
      </c>
      <c r="E8">
        <v>1</v>
      </c>
      <c r="F8">
        <v>1</v>
      </c>
      <c r="G8" s="1">
        <f>'Q13-Expt CCD'!M28</f>
        <v>1.52</v>
      </c>
      <c r="H8">
        <f t="shared" si="0"/>
        <v>1.92</v>
      </c>
      <c r="I8">
        <f t="shared" si="1"/>
        <v>-0.39999999999999991</v>
      </c>
      <c r="J8" s="1">
        <v>-0.60999999999999988</v>
      </c>
      <c r="K8" s="70">
        <f t="shared" si="2"/>
        <v>-0.61608221285227827</v>
      </c>
    </row>
    <row r="9" spans="2:11" ht="15" customHeight="1">
      <c r="B9" s="145"/>
      <c r="C9" s="1">
        <f>'Q5-Expt Factorial'!M23</f>
        <v>7</v>
      </c>
      <c r="D9" s="1">
        <v>-1</v>
      </c>
      <c r="E9">
        <v>-1</v>
      </c>
      <c r="F9">
        <v>1</v>
      </c>
      <c r="G9" s="1">
        <f>'Q13-Expt CCD'!M29</f>
        <v>2.6799999999999997</v>
      </c>
      <c r="H9">
        <f t="shared" si="0"/>
        <v>1.92</v>
      </c>
      <c r="I9">
        <f t="shared" si="1"/>
        <v>0.75999999999999979</v>
      </c>
      <c r="J9" s="1">
        <v>-0.55999999999999983</v>
      </c>
      <c r="K9" s="70">
        <f t="shared" si="2"/>
        <v>-0.54185937591021294</v>
      </c>
    </row>
    <row r="10" spans="2:11" ht="16" customHeight="1">
      <c r="B10" s="145"/>
      <c r="C10" s="1">
        <f>'Q5-Expt Factorial'!M24</f>
        <v>14</v>
      </c>
      <c r="D10" s="1">
        <v>-1</v>
      </c>
      <c r="E10">
        <v>1</v>
      </c>
      <c r="F10">
        <v>-1</v>
      </c>
      <c r="G10" s="1">
        <f>'Q13-Expt CCD'!M30</f>
        <v>1.08</v>
      </c>
      <c r="H10">
        <f t="shared" si="0"/>
        <v>1.92</v>
      </c>
      <c r="I10">
        <f t="shared" si="1"/>
        <v>-0.83999999999999986</v>
      </c>
      <c r="J10" s="1">
        <v>-0.55499999999999972</v>
      </c>
      <c r="K10" s="70">
        <f t="shared" si="2"/>
        <v>-0.47584772691745458</v>
      </c>
    </row>
    <row r="11" spans="2:11" ht="15" customHeight="1">
      <c r="B11" s="145"/>
      <c r="C11" s="1">
        <f>'Q5-Expt Factorial'!M25</f>
        <v>1</v>
      </c>
      <c r="D11" s="1">
        <v>-1</v>
      </c>
      <c r="E11">
        <v>-1</v>
      </c>
      <c r="F11">
        <v>-1</v>
      </c>
      <c r="G11" s="1">
        <f>'Q13-Expt CCD'!M31</f>
        <v>2.34</v>
      </c>
      <c r="H11">
        <f t="shared" si="0"/>
        <v>1.92</v>
      </c>
      <c r="I11">
        <f t="shared" si="1"/>
        <v>0.41999999999999993</v>
      </c>
      <c r="J11" s="1">
        <v>-0.42999999999999972</v>
      </c>
      <c r="K11" s="70">
        <f t="shared" si="2"/>
        <v>-0.41566925817222244</v>
      </c>
    </row>
    <row r="12" spans="2:11">
      <c r="B12" s="145"/>
      <c r="C12" s="1">
        <f>'Q13-Expt CCD'!R15</f>
        <v>22</v>
      </c>
      <c r="D12" s="1">
        <v>-1.6819999999999999</v>
      </c>
      <c r="E12">
        <v>0</v>
      </c>
      <c r="F12">
        <v>0</v>
      </c>
      <c r="G12" s="1">
        <f>'Q13-Expt CCD'!M32</f>
        <v>1.9549999999999998</v>
      </c>
      <c r="H12">
        <f t="shared" si="0"/>
        <v>1.7904199999999999</v>
      </c>
      <c r="I12">
        <f t="shared" si="1"/>
        <v>0.16457999999999995</v>
      </c>
      <c r="J12" s="1">
        <v>-0.39999999999999991</v>
      </c>
      <c r="K12" s="70">
        <f t="shared" si="2"/>
        <v>-0.35979489786822705</v>
      </c>
    </row>
    <row r="13" spans="2:11">
      <c r="B13" s="145"/>
      <c r="C13" s="1">
        <f>'Q13-Expt CCD'!R16</f>
        <v>23</v>
      </c>
      <c r="D13" s="1">
        <v>1.6819999999999999</v>
      </c>
      <c r="E13">
        <v>0</v>
      </c>
      <c r="F13">
        <v>0</v>
      </c>
      <c r="G13" s="1">
        <f>'Q13-Expt CCD'!M33</f>
        <v>2.585</v>
      </c>
      <c r="H13">
        <f t="shared" si="0"/>
        <v>2.4295799999999996</v>
      </c>
      <c r="I13">
        <f t="shared" si="1"/>
        <v>0.15542000000000034</v>
      </c>
      <c r="J13" s="1">
        <v>-0.23457999999999934</v>
      </c>
      <c r="K13" s="70">
        <f t="shared" si="2"/>
        <v>-0.30717145474808827</v>
      </c>
    </row>
    <row r="14" spans="2:11">
      <c r="B14" s="145"/>
      <c r="C14" s="1">
        <f>'Q13-Expt CCD'!R17</f>
        <v>20</v>
      </c>
      <c r="D14" s="1">
        <v>0</v>
      </c>
      <c r="E14">
        <v>-1.6819999999999999</v>
      </c>
      <c r="F14">
        <v>0</v>
      </c>
      <c r="G14" s="1">
        <f>'Q13-Expt CCD'!M34</f>
        <v>3.1900000000000004</v>
      </c>
      <c r="H14">
        <f t="shared" si="0"/>
        <v>2.11</v>
      </c>
      <c r="I14">
        <f t="shared" si="1"/>
        <v>1.0800000000000005</v>
      </c>
      <c r="J14" s="1">
        <v>-0.20999999999999996</v>
      </c>
      <c r="K14" s="70">
        <f t="shared" si="2"/>
        <v>-0.25703251352762452</v>
      </c>
    </row>
    <row r="15" spans="2:11" ht="16" customHeight="1">
      <c r="B15" s="145"/>
      <c r="C15" s="1">
        <f>'Q13-Expt CCD'!R18</f>
        <v>18</v>
      </c>
      <c r="D15" s="1">
        <v>0</v>
      </c>
      <c r="E15">
        <v>1.6819999999999999</v>
      </c>
      <c r="F15">
        <v>0</v>
      </c>
      <c r="G15" s="1">
        <f>'Q13-Expt CCD'!M35</f>
        <v>2.2799999999999998</v>
      </c>
      <c r="H15">
        <f t="shared" si="0"/>
        <v>2.11</v>
      </c>
      <c r="I15">
        <f t="shared" si="1"/>
        <v>0.16999999999999993</v>
      </c>
      <c r="J15" s="1">
        <v>-0.19999999999999996</v>
      </c>
      <c r="K15" s="70">
        <f t="shared" si="2"/>
        <v>-0.20879354209736323</v>
      </c>
    </row>
    <row r="16" spans="2:11" ht="16" customHeight="1">
      <c r="B16" s="145"/>
      <c r="C16" s="1">
        <f>'Q13-Expt CCD'!R19</f>
        <v>30</v>
      </c>
      <c r="D16" s="1">
        <v>0</v>
      </c>
      <c r="E16">
        <v>0</v>
      </c>
      <c r="F16">
        <v>-1.6819999999999999</v>
      </c>
      <c r="G16" s="1">
        <f>'Q13-Expt CCD'!M36</f>
        <v>2.27</v>
      </c>
      <c r="H16">
        <f t="shared" si="0"/>
        <v>2.11</v>
      </c>
      <c r="I16">
        <f t="shared" si="1"/>
        <v>0.16000000000000014</v>
      </c>
      <c r="J16" s="1">
        <v>-7.4999999999999734E-2</v>
      </c>
      <c r="K16" s="70">
        <f t="shared" si="2"/>
        <v>-0.16198935298657144</v>
      </c>
    </row>
    <row r="17" spans="2:11">
      <c r="B17" s="145"/>
      <c r="C17" s="1">
        <f>'Q13-Expt CCD'!R20</f>
        <v>17</v>
      </c>
      <c r="D17" s="1">
        <v>0</v>
      </c>
      <c r="E17">
        <v>0</v>
      </c>
      <c r="F17">
        <v>1.6819999999999999</v>
      </c>
      <c r="G17" s="1">
        <f>'Q13-Expt CCD'!M37</f>
        <v>2.37</v>
      </c>
      <c r="H17">
        <f t="shared" si="0"/>
        <v>2.11</v>
      </c>
      <c r="I17">
        <f t="shared" si="1"/>
        <v>0.26000000000000023</v>
      </c>
      <c r="J17" s="1">
        <v>-2.9999999999999805E-2</v>
      </c>
      <c r="K17" s="70">
        <f t="shared" si="2"/>
        <v>-0.11623440247746765</v>
      </c>
    </row>
    <row r="18" spans="2:11">
      <c r="B18" s="139"/>
      <c r="C18" s="2">
        <f>'Q13-Expt CCD'!R21</f>
        <v>27</v>
      </c>
      <c r="D18" s="2">
        <v>0</v>
      </c>
      <c r="E18" s="3">
        <v>0</v>
      </c>
      <c r="F18" s="3">
        <v>0</v>
      </c>
      <c r="G18" s="2">
        <f>'Q13-Expt CCD'!M38</f>
        <v>2.13</v>
      </c>
      <c r="H18" s="3">
        <f t="shared" si="0"/>
        <v>2.11</v>
      </c>
      <c r="I18" s="3">
        <f t="shared" si="1"/>
        <v>2.0000000000000018E-2</v>
      </c>
      <c r="J18" s="2">
        <v>1.5000000000000124E-2</v>
      </c>
      <c r="K18" s="71">
        <f t="shared" si="2"/>
        <v>-7.1196022855994121E-2</v>
      </c>
    </row>
    <row r="19" spans="2:11">
      <c r="B19" s="136" t="s">
        <v>64</v>
      </c>
      <c r="C19" s="35">
        <f>'Q5-Expt Factorial'!M26</f>
        <v>8</v>
      </c>
      <c r="D19" s="35">
        <v>1</v>
      </c>
      <c r="E19" s="9">
        <v>1</v>
      </c>
      <c r="F19" s="9">
        <v>1</v>
      </c>
      <c r="G19" s="35">
        <f>'Q13-Expt CCD'!M39</f>
        <v>2.605</v>
      </c>
      <c r="H19">
        <f t="shared" si="0"/>
        <v>2.2999999999999998</v>
      </c>
      <c r="I19" s="9">
        <f t="shared" si="1"/>
        <v>0.30500000000000016</v>
      </c>
      <c r="J19" s="35">
        <v>2.0000000000000018E-2</v>
      </c>
      <c r="K19" s="80">
        <f t="shared" si="2"/>
        <v>-2.6575171078924143E-2</v>
      </c>
    </row>
    <row r="20" spans="2:11">
      <c r="B20" s="145"/>
      <c r="C20" s="1">
        <f>'Q5-Expt Factorial'!M27</f>
        <v>5</v>
      </c>
      <c r="D20" s="1">
        <v>1</v>
      </c>
      <c r="E20">
        <v>-1</v>
      </c>
      <c r="F20">
        <v>1</v>
      </c>
      <c r="G20" s="1">
        <f>'Q13-Expt CCD'!M40</f>
        <v>1.7450000000000001</v>
      </c>
      <c r="H20">
        <f t="shared" si="0"/>
        <v>2.2999999999999998</v>
      </c>
      <c r="I20">
        <f t="shared" si="1"/>
        <v>-0.55499999999999972</v>
      </c>
      <c r="J20" s="1">
        <v>0.15542000000000034</v>
      </c>
      <c r="K20" s="70">
        <f t="shared" si="2"/>
        <v>1.7908504412257793E-2</v>
      </c>
    </row>
    <row r="21" spans="2:11">
      <c r="B21" s="145"/>
      <c r="C21" s="1">
        <f>'Q5-Expt Factorial'!M28</f>
        <v>11</v>
      </c>
      <c r="D21" s="1">
        <v>1</v>
      </c>
      <c r="E21">
        <v>1</v>
      </c>
      <c r="F21">
        <v>-1</v>
      </c>
      <c r="G21" s="1">
        <f>'Q13-Expt CCD'!M41</f>
        <v>1.49</v>
      </c>
      <c r="H21">
        <f t="shared" si="0"/>
        <v>2.2999999999999998</v>
      </c>
      <c r="I21">
        <f t="shared" si="1"/>
        <v>-0.80999999999999983</v>
      </c>
      <c r="J21" s="1">
        <v>0.16000000000000014</v>
      </c>
      <c r="K21" s="70">
        <f t="shared" si="2"/>
        <v>6.252935618932777E-2</v>
      </c>
    </row>
    <row r="22" spans="2:11">
      <c r="B22" s="145"/>
      <c r="C22" s="1">
        <f>'Q5-Expt Factorial'!M29</f>
        <v>15</v>
      </c>
      <c r="D22" s="1">
        <v>1</v>
      </c>
      <c r="E22">
        <v>-1</v>
      </c>
      <c r="F22">
        <v>-1</v>
      </c>
      <c r="G22" s="1">
        <f>'Q13-Expt CCD'!M42</f>
        <v>1.74</v>
      </c>
      <c r="H22">
        <f t="shared" si="0"/>
        <v>2.2999999999999998</v>
      </c>
      <c r="I22">
        <f t="shared" si="1"/>
        <v>-0.55999999999999983</v>
      </c>
      <c r="J22" s="1">
        <v>0.16457999999999995</v>
      </c>
      <c r="K22" s="70">
        <f t="shared" si="2"/>
        <v>0.1075677358108013</v>
      </c>
    </row>
    <row r="23" spans="2:11">
      <c r="B23" s="145"/>
      <c r="C23" s="1">
        <f>'Q5-Expt Factorial'!M30</f>
        <v>10</v>
      </c>
      <c r="D23" s="1">
        <v>-1</v>
      </c>
      <c r="E23">
        <v>1</v>
      </c>
      <c r="F23">
        <v>1</v>
      </c>
      <c r="G23" s="1">
        <f>'Q13-Expt CCD'!M43</f>
        <v>1.9350000000000001</v>
      </c>
      <c r="H23">
        <f t="shared" si="0"/>
        <v>1.92</v>
      </c>
      <c r="I23">
        <f t="shared" si="1"/>
        <v>1.5000000000000124E-2</v>
      </c>
      <c r="J23" s="1">
        <v>0.16500000000000004</v>
      </c>
      <c r="K23" s="70">
        <f t="shared" si="2"/>
        <v>0.15332268631990512</v>
      </c>
    </row>
    <row r="24" spans="2:11">
      <c r="B24" s="145"/>
      <c r="C24" s="1">
        <f>'Q5-Expt Factorial'!M31</f>
        <v>13</v>
      </c>
      <c r="D24" s="1">
        <v>-1</v>
      </c>
      <c r="E24">
        <v>-1</v>
      </c>
      <c r="F24">
        <v>1</v>
      </c>
      <c r="G24" s="1">
        <f>'Q13-Expt CCD'!M44</f>
        <v>1.72</v>
      </c>
      <c r="H24">
        <f t="shared" si="0"/>
        <v>1.92</v>
      </c>
      <c r="I24">
        <f t="shared" si="1"/>
        <v>-0.19999999999999996</v>
      </c>
      <c r="J24" s="1">
        <v>0.16999999999999993</v>
      </c>
      <c r="K24" s="70">
        <f t="shared" si="2"/>
        <v>0.2001268754306969</v>
      </c>
    </row>
    <row r="25" spans="2:11">
      <c r="B25" s="145"/>
      <c r="C25" s="1">
        <f>'Q5-Expt Factorial'!M32</f>
        <v>2</v>
      </c>
      <c r="D25" s="1">
        <v>-1</v>
      </c>
      <c r="E25">
        <v>1</v>
      </c>
      <c r="F25">
        <v>-1</v>
      </c>
      <c r="G25" s="1">
        <f>'Q13-Expt CCD'!M45</f>
        <v>1.8900000000000001</v>
      </c>
      <c r="H25">
        <f t="shared" si="0"/>
        <v>1.92</v>
      </c>
      <c r="I25">
        <f t="shared" si="1"/>
        <v>-2.9999999999999805E-2</v>
      </c>
      <c r="J25" s="1">
        <v>0.22958000000000012</v>
      </c>
      <c r="K25" s="70">
        <f t="shared" si="2"/>
        <v>0.24836584686095817</v>
      </c>
    </row>
    <row r="26" spans="2:11">
      <c r="B26" s="145"/>
      <c r="C26" s="1">
        <f>'Q5-Expt Factorial'!M33</f>
        <v>3</v>
      </c>
      <c r="D26" s="1">
        <v>-1</v>
      </c>
      <c r="E26">
        <v>-1</v>
      </c>
      <c r="F26">
        <v>-1</v>
      </c>
      <c r="G26" s="1">
        <f>'Q13-Expt CCD'!M46</f>
        <v>1.31</v>
      </c>
      <c r="H26">
        <f t="shared" si="0"/>
        <v>1.92</v>
      </c>
      <c r="I26">
        <f t="shared" si="1"/>
        <v>-0.60999999999999988</v>
      </c>
      <c r="J26" s="1">
        <v>0.26000000000000023</v>
      </c>
      <c r="K26" s="70">
        <f t="shared" si="2"/>
        <v>0.29850478808142189</v>
      </c>
    </row>
    <row r="27" spans="2:11">
      <c r="B27" s="145"/>
      <c r="C27" s="1">
        <f>'Q13-Expt CCD'!R22</f>
        <v>24</v>
      </c>
      <c r="D27" s="1">
        <v>-1.6819999999999999</v>
      </c>
      <c r="E27">
        <v>0</v>
      </c>
      <c r="F27">
        <v>0</v>
      </c>
      <c r="G27" s="1">
        <f>'Q13-Expt CCD'!M47</f>
        <v>2.02</v>
      </c>
      <c r="H27">
        <f t="shared" si="0"/>
        <v>1.7904199999999999</v>
      </c>
      <c r="I27">
        <f t="shared" si="1"/>
        <v>0.22958000000000012</v>
      </c>
      <c r="J27" s="1">
        <v>0.30500000000000016</v>
      </c>
      <c r="K27" s="70">
        <f t="shared" si="2"/>
        <v>0.35112823120156067</v>
      </c>
    </row>
    <row r="28" spans="2:11">
      <c r="B28" s="145"/>
      <c r="C28" s="1">
        <f>'Q13-Expt CCD'!R23</f>
        <v>26</v>
      </c>
      <c r="D28" s="1">
        <v>1.6819999999999999</v>
      </c>
      <c r="E28">
        <v>0</v>
      </c>
      <c r="F28">
        <v>0</v>
      </c>
      <c r="G28" s="1">
        <f>'Q13-Expt CCD'!M48</f>
        <v>2.1950000000000003</v>
      </c>
      <c r="H28">
        <f t="shared" si="0"/>
        <v>2.4295799999999996</v>
      </c>
      <c r="I28">
        <f t="shared" si="1"/>
        <v>-0.23457999999999934</v>
      </c>
      <c r="J28" s="1">
        <v>0.41999999999999993</v>
      </c>
      <c r="K28" s="70">
        <f t="shared" si="2"/>
        <v>0.40700259150555607</v>
      </c>
    </row>
    <row r="29" spans="2:11">
      <c r="B29" s="145"/>
      <c r="C29" s="1">
        <f>'Q13-Expt CCD'!R24</f>
        <v>21</v>
      </c>
      <c r="D29" s="1">
        <v>0</v>
      </c>
      <c r="E29">
        <v>-1.6819999999999999</v>
      </c>
      <c r="F29">
        <v>0</v>
      </c>
      <c r="G29" s="1">
        <f>'Q13-Expt CCD'!M49</f>
        <v>1.135</v>
      </c>
      <c r="H29">
        <f t="shared" si="0"/>
        <v>2.11</v>
      </c>
      <c r="I29">
        <f t="shared" si="1"/>
        <v>-0.97499999999999987</v>
      </c>
      <c r="J29" s="1">
        <v>0.66500000000000048</v>
      </c>
      <c r="K29" s="70">
        <f t="shared" si="2"/>
        <v>0.4671810602507882</v>
      </c>
    </row>
    <row r="30" spans="2:11">
      <c r="B30" s="145"/>
      <c r="C30" s="1">
        <f>'Q13-Expt CCD'!R25</f>
        <v>28</v>
      </c>
      <c r="D30" s="1">
        <v>0</v>
      </c>
      <c r="E30">
        <v>1.6819999999999999</v>
      </c>
      <c r="F30">
        <v>0</v>
      </c>
      <c r="G30" s="1">
        <f>'Q13-Expt CCD'!M50</f>
        <v>2.7750000000000004</v>
      </c>
      <c r="H30">
        <f t="shared" si="0"/>
        <v>2.11</v>
      </c>
      <c r="I30">
        <f t="shared" si="1"/>
        <v>0.66500000000000048</v>
      </c>
      <c r="J30" s="1">
        <v>0.75999999999999979</v>
      </c>
      <c r="K30" s="70">
        <f t="shared" si="2"/>
        <v>0.53319270924354656</v>
      </c>
    </row>
    <row r="31" spans="2:11">
      <c r="B31" s="145"/>
      <c r="C31" s="1">
        <f>'Q13-Expt CCD'!R26</f>
        <v>19</v>
      </c>
      <c r="D31" s="1">
        <v>0</v>
      </c>
      <c r="E31">
        <v>0</v>
      </c>
      <c r="F31">
        <v>-1.6819999999999999</v>
      </c>
      <c r="G31" s="1">
        <f>'Q13-Expt CCD'!M51</f>
        <v>1.28</v>
      </c>
      <c r="H31">
        <f t="shared" si="0"/>
        <v>2.11</v>
      </c>
      <c r="I31">
        <f t="shared" si="1"/>
        <v>-0.82999999999999985</v>
      </c>
      <c r="J31" s="1">
        <v>0.90500000000000025</v>
      </c>
      <c r="K31" s="70">
        <f t="shared" si="2"/>
        <v>0.60741554618561189</v>
      </c>
    </row>
    <row r="32" spans="2:11">
      <c r="B32" s="145"/>
      <c r="C32" s="1">
        <f>'Q13-Expt CCD'!R27</f>
        <v>29</v>
      </c>
      <c r="D32" s="1">
        <v>0</v>
      </c>
      <c r="E32">
        <v>0</v>
      </c>
      <c r="F32">
        <v>1.6819999999999999</v>
      </c>
      <c r="G32" s="1">
        <f>'Q13-Expt CCD'!M52</f>
        <v>2.0350000000000001</v>
      </c>
      <c r="H32">
        <f t="shared" si="0"/>
        <v>2.11</v>
      </c>
      <c r="I32">
        <f t="shared" si="1"/>
        <v>-7.4999999999999734E-2</v>
      </c>
      <c r="J32" s="1">
        <v>1.0800000000000005</v>
      </c>
      <c r="K32" s="70">
        <f t="shared" si="2"/>
        <v>0.69390689718500975</v>
      </c>
    </row>
    <row r="33" spans="2:11">
      <c r="B33" s="139"/>
      <c r="C33" s="2">
        <f>'Q13-Expt CCD'!R28</f>
        <v>25</v>
      </c>
      <c r="D33" s="2">
        <v>0</v>
      </c>
      <c r="E33" s="3">
        <v>0</v>
      </c>
      <c r="F33" s="3">
        <v>0</v>
      </c>
      <c r="G33" s="2">
        <f>'Q13-Expt CCD'!M53</f>
        <v>2.2749999999999999</v>
      </c>
      <c r="H33" s="3">
        <f t="shared" si="0"/>
        <v>2.11</v>
      </c>
      <c r="I33" s="3">
        <f t="shared" si="1"/>
        <v>0.16500000000000004</v>
      </c>
      <c r="J33" s="2">
        <v>1.1550000000000002</v>
      </c>
      <c r="K33" s="71">
        <f t="shared" si="2"/>
        <v>0.80060706575229856</v>
      </c>
    </row>
    <row r="36" spans="2:11">
      <c r="B36" s="155" t="s">
        <v>134</v>
      </c>
      <c r="C36" s="156"/>
      <c r="D36" s="156"/>
      <c r="E36" s="156"/>
      <c r="F36" s="156"/>
      <c r="G36" s="156"/>
      <c r="H36" s="156"/>
      <c r="I36" s="156"/>
      <c r="J36" s="156"/>
    </row>
    <row r="37" spans="2:11">
      <c r="B37" s="156"/>
      <c r="C37" s="156"/>
      <c r="D37" s="156"/>
      <c r="E37" s="156"/>
      <c r="F37" s="156"/>
      <c r="G37" s="156"/>
      <c r="H37" s="156"/>
      <c r="I37" s="156"/>
      <c r="J37" s="156"/>
    </row>
    <row r="38" spans="2:11">
      <c r="B38" s="156"/>
      <c r="C38" s="156"/>
      <c r="D38" s="156"/>
      <c r="E38" s="156"/>
      <c r="F38" s="156"/>
      <c r="G38" s="156"/>
      <c r="H38" s="156"/>
      <c r="I38" s="156"/>
      <c r="J38" s="156"/>
    </row>
  </sheetData>
  <mergeCells count="4">
    <mergeCell ref="B1:K2"/>
    <mergeCell ref="B4:B18"/>
    <mergeCell ref="B19:B33"/>
    <mergeCell ref="B36:J38"/>
  </mergeCells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943F-6E9F-D74D-9C83-77185810830F}">
  <dimension ref="A1:U85"/>
  <sheetViews>
    <sheetView zoomScaleNormal="75" workbookViewId="0">
      <selection activeCell="N46" sqref="N46"/>
    </sheetView>
  </sheetViews>
  <sheetFormatPr baseColWidth="10" defaultRowHeight="15"/>
  <cols>
    <col min="3" max="4" width="10.83203125" customWidth="1"/>
  </cols>
  <sheetData>
    <row r="1" spans="2:21" ht="16">
      <c r="B1" s="113" t="s">
        <v>92</v>
      </c>
      <c r="C1" s="114"/>
      <c r="D1" s="114"/>
      <c r="E1" s="114"/>
      <c r="F1" s="114"/>
      <c r="G1" s="114"/>
      <c r="H1" s="114"/>
      <c r="I1" s="115"/>
      <c r="K1" s="143" t="s">
        <v>22</v>
      </c>
      <c r="L1" s="38"/>
      <c r="M1" s="103" t="s">
        <v>18</v>
      </c>
      <c r="N1" s="103"/>
      <c r="O1" s="103"/>
      <c r="P1" s="103"/>
      <c r="Q1" s="103"/>
      <c r="R1" s="103"/>
      <c r="S1" s="103"/>
      <c r="T1" s="103"/>
      <c r="U1" s="103"/>
    </row>
    <row r="2" spans="2:21" ht="15" customHeight="1">
      <c r="B2" s="116"/>
      <c r="C2" s="117"/>
      <c r="D2" s="117"/>
      <c r="E2" s="117"/>
      <c r="F2" s="117"/>
      <c r="G2" s="117"/>
      <c r="H2" s="117"/>
      <c r="I2" s="118"/>
      <c r="K2" s="144"/>
      <c r="L2" s="38"/>
      <c r="M2" s="103"/>
      <c r="N2" s="103"/>
      <c r="O2" s="103"/>
      <c r="P2" s="103"/>
      <c r="Q2" s="103"/>
      <c r="R2" s="103"/>
      <c r="S2" s="103"/>
      <c r="T2" s="103"/>
      <c r="U2" s="103"/>
    </row>
    <row r="3" spans="2:21" ht="15" customHeight="1">
      <c r="B3" s="12"/>
      <c r="C3" s="11" t="s">
        <v>0</v>
      </c>
      <c r="D3" s="11" t="s">
        <v>1</v>
      </c>
      <c r="E3" s="13" t="s">
        <v>2</v>
      </c>
      <c r="F3" s="11" t="s">
        <v>94</v>
      </c>
      <c r="G3" s="11" t="s">
        <v>96</v>
      </c>
      <c r="H3" s="11" t="s">
        <v>98</v>
      </c>
      <c r="I3" s="12" t="s">
        <v>21</v>
      </c>
      <c r="K3" s="12" t="s">
        <v>23</v>
      </c>
      <c r="L3" s="41"/>
      <c r="M3" t="s">
        <v>99</v>
      </c>
    </row>
    <row r="4" spans="2:21" ht="16" thickBot="1">
      <c r="B4" s="135" t="s">
        <v>63</v>
      </c>
      <c r="C4">
        <v>1</v>
      </c>
      <c r="D4">
        <v>1</v>
      </c>
      <c r="E4" s="6">
        <v>1</v>
      </c>
      <c r="F4">
        <f>C4^2</f>
        <v>1</v>
      </c>
      <c r="G4">
        <f t="shared" ref="G4:G33" si="0">D4^2</f>
        <v>1</v>
      </c>
      <c r="H4">
        <f t="shared" ref="H4:H33" si="1">E4^2</f>
        <v>1</v>
      </c>
      <c r="I4" s="4">
        <f>'Q13-Expt CCD'!M24</f>
        <v>3.4550000000000001</v>
      </c>
      <c r="K4" s="29">
        <f t="shared" ref="K4:K18" si="2">-10*LOG10((1/I4^2+1/I19^2)/2)</f>
        <v>9.3716495726779119</v>
      </c>
    </row>
    <row r="5" spans="2:21">
      <c r="B5" s="135"/>
      <c r="C5">
        <v>1</v>
      </c>
      <c r="D5">
        <v>-1</v>
      </c>
      <c r="E5" s="6">
        <v>1</v>
      </c>
      <c r="F5">
        <f t="shared" ref="F5:F33" si="3">C5^2</f>
        <v>1</v>
      </c>
      <c r="G5">
        <f t="shared" si="0"/>
        <v>1</v>
      </c>
      <c r="H5">
        <f t="shared" si="1"/>
        <v>1</v>
      </c>
      <c r="I5" s="4">
        <f>'Q13-Expt CCD'!M25</f>
        <v>2.09</v>
      </c>
      <c r="K5" s="29">
        <f t="shared" si="2"/>
        <v>5.5491210722611353</v>
      </c>
      <c r="M5" s="92" t="s">
        <v>100</v>
      </c>
      <c r="N5" s="92"/>
    </row>
    <row r="6" spans="2:21">
      <c r="B6" s="135"/>
      <c r="C6">
        <v>1</v>
      </c>
      <c r="D6">
        <v>1</v>
      </c>
      <c r="E6" s="6">
        <v>-1</v>
      </c>
      <c r="F6">
        <f t="shared" si="3"/>
        <v>1</v>
      </c>
      <c r="G6">
        <f t="shared" si="0"/>
        <v>1</v>
      </c>
      <c r="H6">
        <f t="shared" si="1"/>
        <v>1</v>
      </c>
      <c r="I6" s="4">
        <f>'Q13-Expt CCD'!M26</f>
        <v>3.2050000000000001</v>
      </c>
      <c r="K6" s="29">
        <f t="shared" si="2"/>
        <v>5.6242227893569936</v>
      </c>
      <c r="M6" t="s">
        <v>101</v>
      </c>
      <c r="N6">
        <v>0.79902115689623443</v>
      </c>
    </row>
    <row r="7" spans="2:21">
      <c r="B7" s="135"/>
      <c r="C7">
        <v>1</v>
      </c>
      <c r="D7">
        <v>-1</v>
      </c>
      <c r="E7" s="6">
        <v>-1</v>
      </c>
      <c r="F7">
        <f t="shared" si="3"/>
        <v>1</v>
      </c>
      <c r="G7">
        <f t="shared" si="0"/>
        <v>1</v>
      </c>
      <c r="H7">
        <f t="shared" si="1"/>
        <v>1</v>
      </c>
      <c r="I7" s="4">
        <f>'Q13-Expt CCD'!M27</f>
        <v>1.87</v>
      </c>
      <c r="K7" s="29">
        <f t="shared" si="2"/>
        <v>5.1126446983763696</v>
      </c>
      <c r="M7" s="101" t="s">
        <v>102</v>
      </c>
      <c r="N7" s="100">
        <v>0.63843480916779694</v>
      </c>
    </row>
    <row r="8" spans="2:21">
      <c r="B8" s="135"/>
      <c r="C8">
        <v>-1</v>
      </c>
      <c r="D8">
        <v>1</v>
      </c>
      <c r="E8" s="6">
        <v>1</v>
      </c>
      <c r="F8">
        <f t="shared" si="3"/>
        <v>1</v>
      </c>
      <c r="G8">
        <f t="shared" si="0"/>
        <v>1</v>
      </c>
      <c r="H8">
        <f t="shared" si="1"/>
        <v>1</v>
      </c>
      <c r="I8" s="4">
        <f>'Q13-Expt CCD'!M28</f>
        <v>1.52</v>
      </c>
      <c r="K8" s="29">
        <f t="shared" si="2"/>
        <v>4.5599186046789644</v>
      </c>
      <c r="M8" s="100" t="s">
        <v>103</v>
      </c>
      <c r="N8" s="100">
        <v>0.36726091604364464</v>
      </c>
    </row>
    <row r="9" spans="2:21">
      <c r="B9" s="135"/>
      <c r="C9">
        <v>-1</v>
      </c>
      <c r="D9">
        <v>-1</v>
      </c>
      <c r="E9" s="6">
        <v>1</v>
      </c>
      <c r="F9">
        <f t="shared" si="3"/>
        <v>1</v>
      </c>
      <c r="G9">
        <f t="shared" si="0"/>
        <v>1</v>
      </c>
      <c r="H9">
        <f t="shared" si="1"/>
        <v>1</v>
      </c>
      <c r="I9" s="4">
        <f>'Q13-Expt CCD'!M29</f>
        <v>2.6799999999999997</v>
      </c>
      <c r="K9" s="29">
        <f t="shared" si="2"/>
        <v>6.2228426002645012</v>
      </c>
      <c r="M9" t="s">
        <v>104</v>
      </c>
      <c r="N9">
        <v>1.4495254619673548</v>
      </c>
    </row>
    <row r="10" spans="2:21" ht="16" thickBot="1">
      <c r="B10" s="135"/>
      <c r="C10" s="1">
        <v>-1</v>
      </c>
      <c r="D10">
        <v>1</v>
      </c>
      <c r="E10" s="6">
        <v>-1</v>
      </c>
      <c r="F10">
        <f t="shared" si="3"/>
        <v>1</v>
      </c>
      <c r="G10">
        <f t="shared" si="0"/>
        <v>1</v>
      </c>
      <c r="H10">
        <f t="shared" si="1"/>
        <v>1</v>
      </c>
      <c r="I10" s="4">
        <f>'Q13-Expt CCD'!M30</f>
        <v>1.08</v>
      </c>
      <c r="K10" s="29">
        <f t="shared" si="2"/>
        <v>2.4516023002353875</v>
      </c>
      <c r="M10" s="75" t="s">
        <v>105</v>
      </c>
      <c r="N10" s="75">
        <v>15</v>
      </c>
    </row>
    <row r="11" spans="2:21">
      <c r="B11" s="135"/>
      <c r="C11" s="2">
        <v>-1</v>
      </c>
      <c r="D11" s="3">
        <v>-1</v>
      </c>
      <c r="E11" s="7">
        <v>-1</v>
      </c>
      <c r="F11" s="3">
        <f t="shared" si="3"/>
        <v>1</v>
      </c>
      <c r="G11" s="3">
        <f t="shared" si="0"/>
        <v>1</v>
      </c>
      <c r="H11" s="7">
        <f t="shared" si="1"/>
        <v>1</v>
      </c>
      <c r="I11" s="5">
        <f>'Q13-Expt CCD'!M31</f>
        <v>2.34</v>
      </c>
      <c r="K11" s="29">
        <f t="shared" si="2"/>
        <v>4.1717273918046818</v>
      </c>
    </row>
    <row r="12" spans="2:21" ht="16" thickBot="1">
      <c r="B12" s="135"/>
      <c r="C12">
        <v>-1.6819999999999999</v>
      </c>
      <c r="D12">
        <v>0</v>
      </c>
      <c r="E12" s="6">
        <v>0</v>
      </c>
      <c r="F12">
        <f t="shared" si="3"/>
        <v>2.8291239999999998</v>
      </c>
      <c r="G12">
        <f t="shared" si="0"/>
        <v>0</v>
      </c>
      <c r="H12">
        <f t="shared" si="1"/>
        <v>0</v>
      </c>
      <c r="I12" s="4">
        <f>'Q13-Expt CCD'!M32</f>
        <v>1.9549999999999998</v>
      </c>
      <c r="K12" s="29">
        <f t="shared" si="2"/>
        <v>5.9626587527347112</v>
      </c>
      <c r="M12" t="s">
        <v>106</v>
      </c>
    </row>
    <row r="13" spans="2:21" ht="16">
      <c r="B13" s="135"/>
      <c r="C13">
        <v>1.6819999999999999</v>
      </c>
      <c r="D13">
        <v>0</v>
      </c>
      <c r="E13" s="6">
        <v>0</v>
      </c>
      <c r="F13">
        <f t="shared" si="3"/>
        <v>2.8291239999999998</v>
      </c>
      <c r="G13">
        <f t="shared" si="0"/>
        <v>0</v>
      </c>
      <c r="H13">
        <f t="shared" si="1"/>
        <v>0</v>
      </c>
      <c r="I13" s="4">
        <f>'Q13-Expt CCD'!M33</f>
        <v>2.585</v>
      </c>
      <c r="K13" s="29">
        <f t="shared" si="2"/>
        <v>7.4811285824480347</v>
      </c>
      <c r="L13" s="38"/>
      <c r="M13" s="76"/>
      <c r="N13" s="76" t="s">
        <v>111</v>
      </c>
      <c r="O13" s="76" t="s">
        <v>112</v>
      </c>
      <c r="P13" s="76" t="s">
        <v>113</v>
      </c>
      <c r="Q13" s="76" t="s">
        <v>114</v>
      </c>
      <c r="R13" s="76" t="s">
        <v>115</v>
      </c>
    </row>
    <row r="14" spans="2:21" ht="15" customHeight="1">
      <c r="B14" s="135"/>
      <c r="C14">
        <v>0</v>
      </c>
      <c r="D14">
        <v>-1.6819999999999999</v>
      </c>
      <c r="E14" s="6">
        <v>0</v>
      </c>
      <c r="F14">
        <f t="shared" si="3"/>
        <v>0</v>
      </c>
      <c r="G14">
        <f t="shared" si="0"/>
        <v>2.8291239999999998</v>
      </c>
      <c r="H14">
        <f t="shared" si="1"/>
        <v>0</v>
      </c>
      <c r="I14" s="4">
        <f>'Q13-Expt CCD'!M34</f>
        <v>3.1900000000000004</v>
      </c>
      <c r="K14" s="29">
        <f t="shared" si="2"/>
        <v>3.5925459553998129</v>
      </c>
      <c r="L14" s="38"/>
      <c r="M14" t="s">
        <v>107</v>
      </c>
      <c r="N14">
        <v>6</v>
      </c>
      <c r="O14">
        <v>29.680528445107296</v>
      </c>
      <c r="P14">
        <v>4.9467547408512162</v>
      </c>
      <c r="Q14">
        <v>2.3543372918848813</v>
      </c>
      <c r="R14">
        <v>0.13039339113137743</v>
      </c>
    </row>
    <row r="15" spans="2:21" ht="15" customHeight="1">
      <c r="B15" s="135"/>
      <c r="C15">
        <v>0</v>
      </c>
      <c r="D15">
        <v>1.6819999999999999</v>
      </c>
      <c r="E15" s="6">
        <v>0</v>
      </c>
      <c r="F15">
        <f t="shared" si="3"/>
        <v>0</v>
      </c>
      <c r="G15">
        <f t="shared" si="0"/>
        <v>2.8291239999999998</v>
      </c>
      <c r="H15">
        <f t="shared" si="1"/>
        <v>0</v>
      </c>
      <c r="I15" s="4">
        <f>'Q13-Expt CCD'!M35</f>
        <v>2.2799999999999998</v>
      </c>
      <c r="K15" s="29">
        <f t="shared" si="2"/>
        <v>7.9286878010649087</v>
      </c>
      <c r="M15" t="s">
        <v>108</v>
      </c>
      <c r="N15">
        <v>8</v>
      </c>
      <c r="O15">
        <v>16.808992519133387</v>
      </c>
      <c r="P15">
        <v>2.1011240648916734</v>
      </c>
    </row>
    <row r="16" spans="2:21" ht="16" thickBot="1">
      <c r="B16" s="135"/>
      <c r="C16">
        <v>0</v>
      </c>
      <c r="D16">
        <v>0</v>
      </c>
      <c r="E16" s="6">
        <v>-1.6819999999999999</v>
      </c>
      <c r="F16">
        <f t="shared" si="3"/>
        <v>0</v>
      </c>
      <c r="G16">
        <f t="shared" si="0"/>
        <v>0</v>
      </c>
      <c r="H16">
        <f t="shared" si="1"/>
        <v>2.8291239999999998</v>
      </c>
      <c r="I16" s="4">
        <f>'Q13-Expt CCD'!M36</f>
        <v>2.27</v>
      </c>
      <c r="K16" s="29">
        <f t="shared" si="2"/>
        <v>3.9554873385980418</v>
      </c>
      <c r="M16" s="75" t="s">
        <v>109</v>
      </c>
      <c r="N16" s="75">
        <v>14</v>
      </c>
      <c r="O16" s="75">
        <v>46.489520964240683</v>
      </c>
      <c r="P16" s="75"/>
      <c r="Q16" s="75"/>
      <c r="R16" s="75"/>
    </row>
    <row r="17" spans="2:21" ht="16" thickBot="1">
      <c r="B17" s="135"/>
      <c r="C17">
        <v>0</v>
      </c>
      <c r="D17">
        <v>0</v>
      </c>
      <c r="E17" s="6">
        <v>1.6819999999999999</v>
      </c>
      <c r="F17">
        <f t="shared" si="3"/>
        <v>0</v>
      </c>
      <c r="G17">
        <f t="shared" si="0"/>
        <v>0</v>
      </c>
      <c r="H17">
        <f t="shared" si="1"/>
        <v>2.8291239999999998</v>
      </c>
      <c r="I17" s="4">
        <f>'Q13-Expt CCD'!M37</f>
        <v>2.37</v>
      </c>
      <c r="K17" s="29">
        <f t="shared" si="2"/>
        <v>6.782891377528486</v>
      </c>
      <c r="L17" s="42"/>
    </row>
    <row r="18" spans="2:21">
      <c r="B18" s="135"/>
      <c r="C18" s="2">
        <v>0</v>
      </c>
      <c r="D18" s="3">
        <v>0</v>
      </c>
      <c r="E18" s="7">
        <v>0</v>
      </c>
      <c r="F18" s="3">
        <f t="shared" si="3"/>
        <v>0</v>
      </c>
      <c r="G18" s="3">
        <f t="shared" si="0"/>
        <v>0</v>
      </c>
      <c r="H18" s="3">
        <f t="shared" si="1"/>
        <v>0</v>
      </c>
      <c r="I18" s="5">
        <f>'Q13-Expt CCD'!M38</f>
        <v>2.13</v>
      </c>
      <c r="K18" s="28">
        <f t="shared" si="2"/>
        <v>6.8441985484507271</v>
      </c>
      <c r="L18" s="42"/>
      <c r="M18" s="76"/>
      <c r="N18" s="76" t="s">
        <v>116</v>
      </c>
      <c r="O18" s="76" t="s">
        <v>104</v>
      </c>
      <c r="P18" s="76" t="s">
        <v>117</v>
      </c>
      <c r="Q18" s="76" t="s">
        <v>118</v>
      </c>
      <c r="R18" s="76" t="s">
        <v>119</v>
      </c>
      <c r="S18" s="76" t="s">
        <v>120</v>
      </c>
      <c r="T18" s="76" t="s">
        <v>121</v>
      </c>
      <c r="U18" s="76" t="s">
        <v>122</v>
      </c>
    </row>
    <row r="19" spans="2:21">
      <c r="B19" s="107" t="s">
        <v>64</v>
      </c>
      <c r="C19" s="82">
        <v>1</v>
      </c>
      <c r="D19" s="82">
        <v>1</v>
      </c>
      <c r="E19" s="83">
        <v>1</v>
      </c>
      <c r="F19" s="82">
        <f t="shared" si="3"/>
        <v>1</v>
      </c>
      <c r="G19" s="82">
        <f t="shared" si="0"/>
        <v>1</v>
      </c>
      <c r="H19" s="82">
        <f t="shared" si="1"/>
        <v>1</v>
      </c>
      <c r="I19" s="4">
        <f>'Q13-Expt CCD'!M39</f>
        <v>2.605</v>
      </c>
      <c r="L19" s="42"/>
      <c r="M19" t="s">
        <v>110</v>
      </c>
      <c r="N19">
        <v>6.9423535871136401</v>
      </c>
      <c r="O19">
        <v>1.4411357104919089</v>
      </c>
      <c r="P19">
        <v>4.8172795501292365</v>
      </c>
      <c r="Q19">
        <v>1.3259572614659262E-3</v>
      </c>
      <c r="R19">
        <v>3.6190886793289025</v>
      </c>
      <c r="S19">
        <v>10.265618494898378</v>
      </c>
      <c r="T19">
        <v>3.6190886793289025</v>
      </c>
      <c r="U19">
        <v>10.265618494898378</v>
      </c>
    </row>
    <row r="20" spans="2:21">
      <c r="B20" s="108"/>
      <c r="C20" s="82">
        <v>1</v>
      </c>
      <c r="D20" s="82">
        <v>-1</v>
      </c>
      <c r="E20" s="83">
        <v>1</v>
      </c>
      <c r="F20" s="82">
        <f t="shared" si="3"/>
        <v>1</v>
      </c>
      <c r="G20" s="82">
        <f t="shared" si="0"/>
        <v>1</v>
      </c>
      <c r="H20" s="82">
        <f t="shared" si="1"/>
        <v>1</v>
      </c>
      <c r="I20" s="4">
        <f>'Q13-Expt CCD'!M40</f>
        <v>1.7450000000000001</v>
      </c>
      <c r="L20" s="81"/>
      <c r="M20" t="s">
        <v>123</v>
      </c>
      <c r="N20">
        <v>0.79114198902133592</v>
      </c>
      <c r="O20">
        <v>0.39221875010445778</v>
      </c>
      <c r="P20">
        <v>2.0170937488598768</v>
      </c>
      <c r="Q20" s="93">
        <v>7.8411157927119529E-2</v>
      </c>
      <c r="R20">
        <v>-0.11331607062415358</v>
      </c>
      <c r="S20">
        <v>1.6956000486668255</v>
      </c>
      <c r="T20">
        <v>-0.11331607062415358</v>
      </c>
      <c r="U20">
        <v>1.6956000486668255</v>
      </c>
    </row>
    <row r="21" spans="2:21">
      <c r="B21" s="108"/>
      <c r="C21" s="82">
        <v>1</v>
      </c>
      <c r="D21" s="82">
        <v>1</v>
      </c>
      <c r="E21" s="83">
        <v>-1</v>
      </c>
      <c r="F21" s="82">
        <f t="shared" si="3"/>
        <v>1</v>
      </c>
      <c r="G21" s="82">
        <f t="shared" si="0"/>
        <v>1</v>
      </c>
      <c r="H21" s="82">
        <f t="shared" si="1"/>
        <v>1</v>
      </c>
      <c r="I21" s="4">
        <f>'Q13-Expt CCD'!M41</f>
        <v>1.49</v>
      </c>
      <c r="L21" s="81"/>
      <c r="M21" t="s">
        <v>124</v>
      </c>
      <c r="N21">
        <v>0.60362413163469142</v>
      </c>
      <c r="O21">
        <v>0.39221875010445789</v>
      </c>
      <c r="P21">
        <v>1.5389986620321718</v>
      </c>
      <c r="Q21" s="93">
        <v>0.16236629902704627</v>
      </c>
      <c r="R21">
        <v>-0.30083392801079833</v>
      </c>
      <c r="S21">
        <v>1.5080821912801812</v>
      </c>
      <c r="T21">
        <v>-0.30083392801079833</v>
      </c>
      <c r="U21">
        <v>1.5080821912801812</v>
      </c>
    </row>
    <row r="22" spans="2:21" ht="15" customHeight="1">
      <c r="B22" s="108"/>
      <c r="C22" s="82">
        <v>1</v>
      </c>
      <c r="D22" s="82">
        <v>-1</v>
      </c>
      <c r="E22" s="83">
        <v>-1</v>
      </c>
      <c r="F22" s="82">
        <f t="shared" si="3"/>
        <v>1</v>
      </c>
      <c r="G22" s="82">
        <f t="shared" si="0"/>
        <v>1</v>
      </c>
      <c r="H22" s="82">
        <f t="shared" si="1"/>
        <v>1</v>
      </c>
      <c r="I22" s="4">
        <f>'Q13-Expt CCD'!M42</f>
        <v>1.74</v>
      </c>
      <c r="M22" t="s">
        <v>125</v>
      </c>
      <c r="N22">
        <v>0.95905626135871069</v>
      </c>
      <c r="O22">
        <v>0.39221875010445778</v>
      </c>
      <c r="P22">
        <v>2.4452075814919345</v>
      </c>
      <c r="Q22" s="93">
        <v>4.0236354067395473E-2</v>
      </c>
      <c r="R22">
        <v>5.4598201713221189E-2</v>
      </c>
      <c r="S22">
        <v>1.8635143210042002</v>
      </c>
      <c r="T22">
        <v>5.4598201713221189E-2</v>
      </c>
      <c r="U22">
        <v>1.8635143210042002</v>
      </c>
    </row>
    <row r="23" spans="2:21" ht="15" customHeight="1">
      <c r="B23" s="108"/>
      <c r="C23" s="82">
        <v>-1</v>
      </c>
      <c r="D23" s="82">
        <v>1</v>
      </c>
      <c r="E23" s="83">
        <v>1</v>
      </c>
      <c r="F23" s="82">
        <f t="shared" si="3"/>
        <v>1</v>
      </c>
      <c r="G23" s="82">
        <f t="shared" si="0"/>
        <v>1</v>
      </c>
      <c r="H23" s="82">
        <f t="shared" si="1"/>
        <v>1</v>
      </c>
      <c r="I23" s="4">
        <f>'Q13-Expt CCD'!M43</f>
        <v>1.9350000000000001</v>
      </c>
      <c r="M23" t="s">
        <v>93</v>
      </c>
      <c r="N23">
        <v>-0.1794446714728723</v>
      </c>
      <c r="O23">
        <v>0.58911931067634027</v>
      </c>
      <c r="P23">
        <v>-0.30459818278042911</v>
      </c>
      <c r="Q23" s="93">
        <v>0.76844545957500832</v>
      </c>
      <c r="R23">
        <v>-1.5379562380211413</v>
      </c>
      <c r="S23">
        <v>1.1790668950753969</v>
      </c>
      <c r="T23">
        <v>-1.5379562380211413</v>
      </c>
      <c r="U23">
        <v>1.1790668950753969</v>
      </c>
    </row>
    <row r="24" spans="2:21" ht="15" customHeight="1">
      <c r="B24" s="108"/>
      <c r="C24" s="82">
        <v>-1</v>
      </c>
      <c r="D24" s="82">
        <v>-1</v>
      </c>
      <c r="E24" s="83">
        <v>1</v>
      </c>
      <c r="F24" s="82">
        <f t="shared" si="3"/>
        <v>1</v>
      </c>
      <c r="G24" s="82">
        <f t="shared" si="0"/>
        <v>1</v>
      </c>
      <c r="H24" s="82">
        <f t="shared" si="1"/>
        <v>1</v>
      </c>
      <c r="I24" s="4">
        <f>'Q13-Expt CCD'!M44</f>
        <v>1.72</v>
      </c>
      <c r="M24" t="s">
        <v>95</v>
      </c>
      <c r="N24">
        <v>-0.5192236240246203</v>
      </c>
      <c r="O24">
        <v>0.58911931067634016</v>
      </c>
      <c r="P24">
        <v>-0.88135563478393553</v>
      </c>
      <c r="Q24" s="93">
        <v>0.40382679806302491</v>
      </c>
      <c r="R24">
        <v>-1.8777351905728892</v>
      </c>
      <c r="S24">
        <v>0.83928794252364858</v>
      </c>
      <c r="T24">
        <v>-1.8777351905728892</v>
      </c>
      <c r="U24">
        <v>0.83928794252364858</v>
      </c>
    </row>
    <row r="25" spans="2:21" ht="16" thickBot="1">
      <c r="B25" s="108"/>
      <c r="C25" s="82">
        <v>-1</v>
      </c>
      <c r="D25" s="82">
        <v>1</v>
      </c>
      <c r="E25" s="83">
        <v>-1</v>
      </c>
      <c r="F25" s="82">
        <f t="shared" si="3"/>
        <v>1</v>
      </c>
      <c r="G25" s="82">
        <f t="shared" si="0"/>
        <v>1</v>
      </c>
      <c r="H25" s="82">
        <f t="shared" si="1"/>
        <v>1</v>
      </c>
      <c r="I25" s="4">
        <f>'Q13-Expt CCD'!M45</f>
        <v>1.8900000000000001</v>
      </c>
      <c r="M25" s="75" t="s">
        <v>97</v>
      </c>
      <c r="N25" s="75">
        <v>-0.65758006233170674</v>
      </c>
      <c r="O25" s="75">
        <v>0.58911931067634027</v>
      </c>
      <c r="P25" s="75">
        <v>-1.1162086362043877</v>
      </c>
      <c r="Q25" s="94">
        <v>0.29673457694702637</v>
      </c>
      <c r="R25" s="75">
        <v>-2.0160916288799759</v>
      </c>
      <c r="S25" s="75">
        <v>0.70093150421656236</v>
      </c>
      <c r="T25" s="75">
        <v>-2.0160916288799759</v>
      </c>
      <c r="U25" s="75">
        <v>0.70093150421656236</v>
      </c>
    </row>
    <row r="26" spans="2:21">
      <c r="B26" s="108"/>
      <c r="C26" s="84">
        <v>-1</v>
      </c>
      <c r="D26" s="85">
        <v>-1</v>
      </c>
      <c r="E26" s="86">
        <v>-1</v>
      </c>
      <c r="F26" s="85">
        <f t="shared" si="3"/>
        <v>1</v>
      </c>
      <c r="G26" s="85">
        <f t="shared" si="0"/>
        <v>1</v>
      </c>
      <c r="H26" s="85">
        <f t="shared" si="1"/>
        <v>1</v>
      </c>
      <c r="I26" s="5">
        <f>'Q13-Expt CCD'!M46</f>
        <v>1.31</v>
      </c>
    </row>
    <row r="27" spans="2:21">
      <c r="B27" s="108"/>
      <c r="C27" s="82">
        <v>-1.6819999999999999</v>
      </c>
      <c r="D27" s="82">
        <v>0</v>
      </c>
      <c r="E27" s="83">
        <v>0</v>
      </c>
      <c r="F27" s="82">
        <f t="shared" si="3"/>
        <v>2.8291239999999998</v>
      </c>
      <c r="G27" s="82">
        <f t="shared" si="0"/>
        <v>0</v>
      </c>
      <c r="H27" s="82">
        <f t="shared" si="1"/>
        <v>0</v>
      </c>
      <c r="I27" s="4">
        <f>'Q13-Expt CCD'!M47</f>
        <v>2.02</v>
      </c>
    </row>
    <row r="28" spans="2:21">
      <c r="B28" s="108"/>
      <c r="C28" s="82">
        <v>1.6819999999999999</v>
      </c>
      <c r="D28" s="82">
        <v>0</v>
      </c>
      <c r="E28" s="83">
        <v>0</v>
      </c>
      <c r="F28" s="82">
        <f t="shared" si="3"/>
        <v>2.8291239999999998</v>
      </c>
      <c r="G28" s="82">
        <f t="shared" si="0"/>
        <v>0</v>
      </c>
      <c r="H28" s="82">
        <f t="shared" si="1"/>
        <v>0</v>
      </c>
      <c r="I28" s="4">
        <f>'Q13-Expt CCD'!M48</f>
        <v>2.1950000000000003</v>
      </c>
    </row>
    <row r="29" spans="2:21" ht="15" customHeight="1">
      <c r="B29" s="108"/>
      <c r="C29" s="82">
        <v>0</v>
      </c>
      <c r="D29" s="82">
        <v>-1.6819999999999999</v>
      </c>
      <c r="E29" s="83">
        <v>0</v>
      </c>
      <c r="F29" s="82">
        <f t="shared" si="3"/>
        <v>0</v>
      </c>
      <c r="G29" s="82">
        <f t="shared" si="0"/>
        <v>2.8291239999999998</v>
      </c>
      <c r="H29" s="82">
        <f t="shared" si="1"/>
        <v>0</v>
      </c>
      <c r="I29" s="4">
        <f>'Q13-Expt CCD'!M49</f>
        <v>1.135</v>
      </c>
    </row>
    <row r="30" spans="2:21">
      <c r="B30" s="108"/>
      <c r="C30" s="82">
        <v>0</v>
      </c>
      <c r="D30" s="82">
        <v>1.6819999999999999</v>
      </c>
      <c r="E30" s="83">
        <v>0</v>
      </c>
      <c r="F30" s="82">
        <f t="shared" si="3"/>
        <v>0</v>
      </c>
      <c r="G30" s="82">
        <f t="shared" si="0"/>
        <v>2.8291239999999998</v>
      </c>
      <c r="H30" s="82">
        <f t="shared" si="1"/>
        <v>0</v>
      </c>
      <c r="I30" s="4">
        <f>'Q13-Expt CCD'!M50</f>
        <v>2.7750000000000004</v>
      </c>
    </row>
    <row r="31" spans="2:21">
      <c r="B31" s="108"/>
      <c r="C31" s="82">
        <v>0</v>
      </c>
      <c r="D31" s="82">
        <v>0</v>
      </c>
      <c r="E31" s="83">
        <v>-1.6819999999999999</v>
      </c>
      <c r="F31" s="82">
        <f t="shared" si="3"/>
        <v>0</v>
      </c>
      <c r="G31" s="82">
        <f t="shared" si="0"/>
        <v>0</v>
      </c>
      <c r="H31" s="82">
        <f t="shared" si="1"/>
        <v>2.8291239999999998</v>
      </c>
      <c r="I31" s="4">
        <f>'Q13-Expt CCD'!M51</f>
        <v>1.28</v>
      </c>
    </row>
    <row r="32" spans="2:21">
      <c r="B32" s="108"/>
      <c r="C32" s="82">
        <v>0</v>
      </c>
      <c r="D32" s="82">
        <v>0</v>
      </c>
      <c r="E32" s="83">
        <v>1.6819999999999999</v>
      </c>
      <c r="F32" s="82">
        <f t="shared" si="3"/>
        <v>0</v>
      </c>
      <c r="G32" s="82">
        <f t="shared" si="0"/>
        <v>0</v>
      </c>
      <c r="H32" s="82">
        <f t="shared" si="1"/>
        <v>2.8291239999999998</v>
      </c>
      <c r="I32" s="4">
        <f>'Q13-Expt CCD'!M52</f>
        <v>2.0350000000000001</v>
      </c>
    </row>
    <row r="33" spans="1:10">
      <c r="B33" s="109"/>
      <c r="C33" s="85">
        <v>0</v>
      </c>
      <c r="D33" s="85">
        <v>0</v>
      </c>
      <c r="E33" s="86">
        <v>0</v>
      </c>
      <c r="F33" s="85">
        <f t="shared" si="3"/>
        <v>0</v>
      </c>
      <c r="G33" s="85">
        <f t="shared" si="0"/>
        <v>0</v>
      </c>
      <c r="H33" s="85">
        <f t="shared" si="1"/>
        <v>0</v>
      </c>
      <c r="I33" s="5">
        <f>'Q13-Expt CCD'!M53</f>
        <v>2.2749999999999999</v>
      </c>
    </row>
    <row r="36" spans="1:10" ht="15" customHeight="1">
      <c r="B36" s="113" t="s">
        <v>127</v>
      </c>
      <c r="C36" s="114"/>
      <c r="D36" s="114"/>
      <c r="E36" s="114"/>
      <c r="F36" s="114"/>
      <c r="G36" s="114"/>
      <c r="H36" s="114"/>
      <c r="I36" s="115"/>
    </row>
    <row r="37" spans="1:10" ht="15" customHeight="1">
      <c r="B37" s="116"/>
      <c r="C37" s="117"/>
      <c r="D37" s="117"/>
      <c r="E37" s="117"/>
      <c r="F37" s="117"/>
      <c r="G37" s="117"/>
      <c r="H37" s="117"/>
      <c r="I37" s="118"/>
    </row>
    <row r="38" spans="1:10" ht="15" customHeight="1" thickBot="1">
      <c r="A38" s="38"/>
      <c r="J38" s="38"/>
    </row>
    <row r="39" spans="1:10" ht="15" customHeight="1">
      <c r="A39" s="38"/>
      <c r="B39" s="76"/>
      <c r="C39" s="76" t="s">
        <v>123</v>
      </c>
      <c r="D39" s="76" t="s">
        <v>124</v>
      </c>
      <c r="E39" s="76" t="s">
        <v>125</v>
      </c>
      <c r="F39" s="76" t="s">
        <v>93</v>
      </c>
      <c r="G39" s="76" t="s">
        <v>95</v>
      </c>
      <c r="H39" s="76" t="s">
        <v>97</v>
      </c>
      <c r="I39" s="76" t="s">
        <v>23</v>
      </c>
      <c r="J39" s="38"/>
    </row>
    <row r="40" spans="1:10" ht="15" customHeight="1">
      <c r="A40" s="38"/>
      <c r="B40" t="s">
        <v>123</v>
      </c>
      <c r="C40">
        <v>1</v>
      </c>
      <c r="J40" s="38"/>
    </row>
    <row r="41" spans="1:10" ht="15" customHeight="1">
      <c r="A41" s="38"/>
      <c r="B41" t="s">
        <v>124</v>
      </c>
      <c r="C41">
        <v>0</v>
      </c>
      <c r="D41">
        <v>1</v>
      </c>
      <c r="J41" s="38"/>
    </row>
    <row r="42" spans="1:10" ht="15" customHeight="1">
      <c r="A42" s="38"/>
      <c r="B42" t="s">
        <v>125</v>
      </c>
      <c r="C42">
        <v>0</v>
      </c>
      <c r="D42">
        <v>0</v>
      </c>
      <c r="E42">
        <v>1</v>
      </c>
      <c r="J42" s="38"/>
    </row>
    <row r="43" spans="1:10" ht="15" customHeight="1">
      <c r="A43" s="38"/>
      <c r="B43" t="s">
        <v>93</v>
      </c>
      <c r="C43">
        <v>0</v>
      </c>
      <c r="D43">
        <v>0</v>
      </c>
      <c r="E43">
        <v>0</v>
      </c>
      <c r="F43">
        <v>1</v>
      </c>
      <c r="J43" s="38"/>
    </row>
    <row r="44" spans="1:10" ht="15" customHeight="1">
      <c r="A44" s="38"/>
      <c r="B44" t="s">
        <v>95</v>
      </c>
      <c r="C44">
        <v>0</v>
      </c>
      <c r="D44">
        <v>0</v>
      </c>
      <c r="E44">
        <v>0</v>
      </c>
      <c r="F44">
        <v>-0.38340457147473295</v>
      </c>
      <c r="G44">
        <v>1</v>
      </c>
      <c r="J44" s="38"/>
    </row>
    <row r="45" spans="1:10" ht="15" customHeight="1">
      <c r="A45" s="38"/>
      <c r="B45" t="s">
        <v>97</v>
      </c>
      <c r="C45">
        <v>0</v>
      </c>
      <c r="D45">
        <v>0</v>
      </c>
      <c r="E45">
        <v>0</v>
      </c>
      <c r="F45">
        <v>-0.38340457147473311</v>
      </c>
      <c r="G45">
        <v>-0.38340457147473311</v>
      </c>
      <c r="H45">
        <v>1</v>
      </c>
      <c r="J45" s="38"/>
    </row>
    <row r="46" spans="1:10" ht="15" customHeight="1" thickBot="1">
      <c r="A46" s="38"/>
      <c r="B46" s="75" t="s">
        <v>23</v>
      </c>
      <c r="C46" s="75">
        <f t="shared" ref="C46:H46" si="4">CORREL(C4:C18, $K4:$K18)</f>
        <v>0.42881937187992841</v>
      </c>
      <c r="D46" s="75">
        <f t="shared" si="4"/>
        <v>0.3271798546546047</v>
      </c>
      <c r="E46" s="75">
        <f t="shared" si="4"/>
        <v>0.51983324017740073</v>
      </c>
      <c r="F46" s="75">
        <f t="shared" si="4"/>
        <v>0.13557511652268492</v>
      </c>
      <c r="G46" s="75">
        <f t="shared" si="4"/>
        <v>-9.8934427159004024E-2</v>
      </c>
      <c r="H46" s="75">
        <f t="shared" si="4"/>
        <v>-0.1944256427541696</v>
      </c>
      <c r="I46" s="75">
        <v>1</v>
      </c>
      <c r="J46" s="38"/>
    </row>
    <row r="47" spans="1:10" ht="1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</row>
    <row r="48" spans="1:10" ht="1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</row>
    <row r="49" spans="1:10" ht="1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</row>
    <row r="50" spans="1:10" ht="1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</row>
    <row r="51" spans="1:10" ht="1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</row>
    <row r="52" spans="1:10" ht="1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</row>
    <row r="53" spans="1:10" ht="1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</row>
    <row r="54" spans="1:10" ht="1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</row>
    <row r="55" spans="1:10" ht="1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</row>
    <row r="56" spans="1:10" ht="1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</row>
    <row r="57" spans="1:10" ht="1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</row>
    <row r="58" spans="1:10" ht="16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</row>
    <row r="59" spans="1:10" ht="16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</row>
    <row r="60" spans="1:10" ht="1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</row>
    <row r="61" spans="1:10" ht="1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</row>
    <row r="62" spans="1:10" ht="1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</row>
    <row r="63" spans="1:10" ht="1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</row>
    <row r="64" spans="1:10" ht="1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</row>
    <row r="65" spans="1:10" ht="1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</row>
    <row r="66" spans="1:10" ht="1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</row>
    <row r="67" spans="1:10" ht="1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</row>
    <row r="68" spans="1:10" ht="1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</row>
    <row r="69" spans="1:10" ht="1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</row>
    <row r="70" spans="1:10" ht="1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</row>
    <row r="71" spans="1:10" ht="1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</row>
    <row r="72" spans="1:10" ht="1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</row>
    <row r="73" spans="1:10" ht="1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</row>
    <row r="74" spans="1:10" ht="1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</row>
    <row r="75" spans="1:10" ht="1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</row>
    <row r="76" spans="1:10" ht="1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</row>
    <row r="77" spans="1:10" ht="1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</row>
    <row r="78" spans="1:10" ht="1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</row>
    <row r="79" spans="1:10" ht="1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</row>
    <row r="80" spans="1:10" ht="1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</row>
    <row r="81" spans="1:10" ht="1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</row>
    <row r="82" spans="1:10" ht="1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</row>
    <row r="83" spans="1:10" ht="1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</row>
    <row r="84" spans="1:10" ht="1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</row>
    <row r="85" spans="1:10" ht="1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</row>
  </sheetData>
  <mergeCells count="6">
    <mergeCell ref="B36:I37"/>
    <mergeCell ref="K1:K2"/>
    <mergeCell ref="B4:B18"/>
    <mergeCell ref="B19:B33"/>
    <mergeCell ref="M1:U2"/>
    <mergeCell ref="B1:I2"/>
  </mergeCells>
  <phoneticPr fontId="2" type="noConversion"/>
  <pageMargins left="0.7" right="0.7" top="0.75" bottom="0.75" header="0.3" footer="0.3"/>
  <pageSetup paperSize="9" orientation="portrait" horizontalDpi="0" verticalDpi="0"/>
  <ignoredErrors>
    <ignoredError sqref="C46:E46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9D8A-B192-5B40-B4EF-A71F9924DB73}">
  <dimension ref="A1:U85"/>
  <sheetViews>
    <sheetView zoomScale="94" workbookViewId="0">
      <selection activeCell="K39" sqref="K39"/>
    </sheetView>
  </sheetViews>
  <sheetFormatPr baseColWidth="10" defaultRowHeight="15"/>
  <cols>
    <col min="3" max="4" width="10.83203125" customWidth="1"/>
  </cols>
  <sheetData>
    <row r="1" spans="2:21" ht="16">
      <c r="B1" s="113" t="s">
        <v>92</v>
      </c>
      <c r="C1" s="114"/>
      <c r="D1" s="114"/>
      <c r="E1" s="114"/>
      <c r="F1" s="114"/>
      <c r="G1" s="114"/>
      <c r="H1" s="114"/>
      <c r="I1" s="115"/>
      <c r="K1" s="143" t="s">
        <v>22</v>
      </c>
      <c r="L1" s="38"/>
      <c r="M1" s="103" t="s">
        <v>18</v>
      </c>
      <c r="N1" s="103"/>
      <c r="O1" s="103"/>
      <c r="P1" s="103"/>
      <c r="Q1" s="103"/>
      <c r="R1" s="103"/>
      <c r="S1" s="103"/>
      <c r="T1" s="103"/>
      <c r="U1" s="103"/>
    </row>
    <row r="2" spans="2:21" ht="15" customHeight="1">
      <c r="B2" s="116"/>
      <c r="C2" s="117"/>
      <c r="D2" s="117"/>
      <c r="E2" s="117"/>
      <c r="F2" s="117"/>
      <c r="G2" s="117"/>
      <c r="H2" s="117"/>
      <c r="I2" s="118"/>
      <c r="K2" s="144"/>
      <c r="L2" s="38"/>
      <c r="M2" s="103"/>
      <c r="N2" s="103"/>
      <c r="O2" s="103"/>
      <c r="P2" s="103"/>
      <c r="Q2" s="103"/>
      <c r="R2" s="103"/>
      <c r="S2" s="103"/>
      <c r="T2" s="103"/>
      <c r="U2" s="103"/>
    </row>
    <row r="3" spans="2:21" ht="15" customHeight="1">
      <c r="C3" s="14" t="s">
        <v>0</v>
      </c>
      <c r="D3" s="13" t="s">
        <v>2</v>
      </c>
      <c r="I3" s="12" t="s">
        <v>21</v>
      </c>
      <c r="K3" s="12" t="s">
        <v>23</v>
      </c>
      <c r="L3" s="41"/>
      <c r="M3" t="s">
        <v>99</v>
      </c>
    </row>
    <row r="4" spans="2:21" ht="16" thickBot="1">
      <c r="C4" s="1">
        <v>1</v>
      </c>
      <c r="D4" s="6">
        <v>1</v>
      </c>
      <c r="I4" s="4">
        <f>'Q13-Expt CCD'!M24</f>
        <v>3.4550000000000001</v>
      </c>
      <c r="K4" s="29">
        <f t="shared" ref="K4:K18" si="0">-10*LOG10((1/I4^2+1/I19^2)/2)</f>
        <v>9.3716495726779119</v>
      </c>
    </row>
    <row r="5" spans="2:21">
      <c r="C5" s="1">
        <v>1</v>
      </c>
      <c r="D5" s="6">
        <v>1</v>
      </c>
      <c r="I5" s="4">
        <f>'Q13-Expt CCD'!M25</f>
        <v>2.09</v>
      </c>
      <c r="K5" s="29">
        <f t="shared" si="0"/>
        <v>5.5491210722611353</v>
      </c>
      <c r="M5" s="92" t="s">
        <v>100</v>
      </c>
      <c r="N5" s="92"/>
    </row>
    <row r="6" spans="2:21">
      <c r="C6" s="1">
        <v>1</v>
      </c>
      <c r="D6" s="6">
        <v>-1</v>
      </c>
      <c r="I6" s="4">
        <f>'Q13-Expt CCD'!M26</f>
        <v>3.2050000000000001</v>
      </c>
      <c r="K6" s="29">
        <f t="shared" si="0"/>
        <v>5.6242227893569936</v>
      </c>
      <c r="M6" t="s">
        <v>101</v>
      </c>
      <c r="N6">
        <v>0.67387881053853571</v>
      </c>
    </row>
    <row r="7" spans="2:21">
      <c r="C7" s="1">
        <v>1</v>
      </c>
      <c r="D7" s="6">
        <v>-1</v>
      </c>
      <c r="I7" s="4">
        <f>'Q13-Expt CCD'!M27</f>
        <v>1.87</v>
      </c>
      <c r="K7" s="29">
        <f t="shared" si="0"/>
        <v>5.1126446983763696</v>
      </c>
      <c r="M7" s="101" t="s">
        <v>102</v>
      </c>
      <c r="N7" s="100">
        <v>0.45411265129283168</v>
      </c>
    </row>
    <row r="8" spans="2:21">
      <c r="C8" s="1">
        <v>-1</v>
      </c>
      <c r="D8" s="6">
        <v>1</v>
      </c>
      <c r="I8" s="4">
        <f>'Q13-Expt CCD'!M28</f>
        <v>1.52</v>
      </c>
      <c r="K8" s="29">
        <f t="shared" si="0"/>
        <v>4.5599186046789644</v>
      </c>
      <c r="M8" s="100" t="s">
        <v>103</v>
      </c>
      <c r="N8" s="100">
        <v>0.36313142650830366</v>
      </c>
    </row>
    <row r="9" spans="2:21">
      <c r="C9" s="1">
        <v>-1</v>
      </c>
      <c r="D9" s="6">
        <v>1</v>
      </c>
      <c r="I9" s="4">
        <f>'Q13-Expt CCD'!M29</f>
        <v>2.6799999999999997</v>
      </c>
      <c r="K9" s="29">
        <f t="shared" si="0"/>
        <v>6.2228426002645012</v>
      </c>
      <c r="M9" t="s">
        <v>104</v>
      </c>
      <c r="N9">
        <v>1.4542478394298222</v>
      </c>
    </row>
    <row r="10" spans="2:21" ht="16" thickBot="1">
      <c r="C10" s="1">
        <v>-1</v>
      </c>
      <c r="D10" s="6">
        <v>-1</v>
      </c>
      <c r="I10" s="4">
        <f>'Q13-Expt CCD'!M30</f>
        <v>1.08</v>
      </c>
      <c r="K10" s="29">
        <f t="shared" si="0"/>
        <v>2.4516023002353875</v>
      </c>
      <c r="M10" s="75" t="s">
        <v>105</v>
      </c>
      <c r="N10" s="75">
        <v>15</v>
      </c>
    </row>
    <row r="11" spans="2:21">
      <c r="C11" s="2">
        <v>-1</v>
      </c>
      <c r="D11" s="7">
        <v>-1</v>
      </c>
      <c r="I11" s="5">
        <f>'Q13-Expt CCD'!M31</f>
        <v>2.34</v>
      </c>
      <c r="K11" s="29">
        <f t="shared" si="0"/>
        <v>4.1717273918046818</v>
      </c>
    </row>
    <row r="12" spans="2:21" ht="16" thickBot="1">
      <c r="C12" s="1">
        <v>-1.6819999999999999</v>
      </c>
      <c r="D12" s="6">
        <v>0</v>
      </c>
      <c r="I12" s="4">
        <f>'Q13-Expt CCD'!M32</f>
        <v>1.9549999999999998</v>
      </c>
      <c r="K12" s="29">
        <f t="shared" si="0"/>
        <v>5.9626587527347112</v>
      </c>
      <c r="M12" t="s">
        <v>106</v>
      </c>
    </row>
    <row r="13" spans="2:21" ht="16">
      <c r="C13" s="1">
        <v>1.6819999999999999</v>
      </c>
      <c r="D13" s="6">
        <v>0</v>
      </c>
      <c r="I13" s="4">
        <f>'Q13-Expt CCD'!M33</f>
        <v>2.585</v>
      </c>
      <c r="K13" s="29">
        <f t="shared" si="0"/>
        <v>7.4811285824480347</v>
      </c>
      <c r="L13" s="38"/>
      <c r="M13" s="76"/>
      <c r="N13" s="76" t="s">
        <v>111</v>
      </c>
      <c r="O13" s="76" t="s">
        <v>112</v>
      </c>
      <c r="P13" s="76" t="s">
        <v>113</v>
      </c>
      <c r="Q13" s="76" t="s">
        <v>114</v>
      </c>
      <c r="R13" s="76" t="s">
        <v>115</v>
      </c>
    </row>
    <row r="14" spans="2:21" ht="15" customHeight="1">
      <c r="C14" s="1">
        <v>0</v>
      </c>
      <c r="D14" s="6">
        <v>0</v>
      </c>
      <c r="I14" s="4">
        <f>'Q13-Expt CCD'!M34</f>
        <v>3.1900000000000004</v>
      </c>
      <c r="K14" s="29">
        <f t="shared" si="0"/>
        <v>3.5925459553998129</v>
      </c>
      <c r="L14" s="38"/>
      <c r="M14" t="s">
        <v>107</v>
      </c>
      <c r="N14">
        <v>2</v>
      </c>
      <c r="O14">
        <v>21.111479622405017</v>
      </c>
      <c r="P14">
        <v>10.555739811202509</v>
      </c>
      <c r="Q14">
        <v>4.9912787211681557</v>
      </c>
      <c r="R14">
        <v>2.6461726488090431E-2</v>
      </c>
    </row>
    <row r="15" spans="2:21" ht="15" customHeight="1">
      <c r="C15" s="1">
        <v>0</v>
      </c>
      <c r="D15" s="6">
        <v>0</v>
      </c>
      <c r="I15" s="4">
        <f>'Q13-Expt CCD'!M35</f>
        <v>2.2799999999999998</v>
      </c>
      <c r="K15" s="29">
        <f t="shared" si="0"/>
        <v>7.9286878010649087</v>
      </c>
      <c r="M15" t="s">
        <v>108</v>
      </c>
      <c r="N15">
        <v>12</v>
      </c>
      <c r="O15">
        <v>25.378041341835665</v>
      </c>
      <c r="P15">
        <v>2.1148367784863056</v>
      </c>
    </row>
    <row r="16" spans="2:21" ht="16" thickBot="1">
      <c r="C16" s="1">
        <v>0</v>
      </c>
      <c r="D16" s="6">
        <v>-1.6819999999999999</v>
      </c>
      <c r="I16" s="4">
        <f>'Q13-Expt CCD'!M36</f>
        <v>2.27</v>
      </c>
      <c r="K16" s="29">
        <f t="shared" si="0"/>
        <v>3.9554873385980418</v>
      </c>
      <c r="M16" s="75" t="s">
        <v>109</v>
      </c>
      <c r="N16" s="75">
        <v>14</v>
      </c>
      <c r="O16" s="75">
        <v>46.489520964240683</v>
      </c>
      <c r="P16" s="75"/>
      <c r="Q16" s="75"/>
      <c r="R16" s="75"/>
    </row>
    <row r="17" spans="3:21" ht="16" thickBot="1">
      <c r="C17" s="1">
        <v>0</v>
      </c>
      <c r="D17" s="6">
        <v>1.6819999999999999</v>
      </c>
      <c r="I17" s="4">
        <f>'Q13-Expt CCD'!M37</f>
        <v>2.37</v>
      </c>
      <c r="K17" s="29">
        <f t="shared" si="0"/>
        <v>6.782891377528486</v>
      </c>
      <c r="L17" s="42"/>
    </row>
    <row r="18" spans="3:21">
      <c r="C18" s="2">
        <v>0</v>
      </c>
      <c r="D18" s="7">
        <v>0</v>
      </c>
      <c r="I18" s="5">
        <f>'Q13-Expt CCD'!M38</f>
        <v>2.13</v>
      </c>
      <c r="K18" s="28">
        <f t="shared" si="0"/>
        <v>6.8441985484507271</v>
      </c>
      <c r="L18" s="42"/>
      <c r="M18" s="76"/>
      <c r="N18" s="76" t="s">
        <v>116</v>
      </c>
      <c r="O18" s="76" t="s">
        <v>104</v>
      </c>
      <c r="P18" s="76" t="s">
        <v>117</v>
      </c>
      <c r="Q18" s="76" t="s">
        <v>118</v>
      </c>
      <c r="R18" s="76" t="s">
        <v>119</v>
      </c>
      <c r="S18" s="76" t="s">
        <v>120</v>
      </c>
      <c r="T18" s="76" t="s">
        <v>121</v>
      </c>
      <c r="U18" s="76" t="s">
        <v>122</v>
      </c>
    </row>
    <row r="19" spans="3:21">
      <c r="C19" s="82"/>
      <c r="D19" s="82"/>
      <c r="E19" s="82"/>
      <c r="F19" s="82"/>
      <c r="G19" s="82"/>
      <c r="H19" s="82"/>
      <c r="I19" s="4">
        <f>'Q13-Expt CCD'!M39</f>
        <v>2.605</v>
      </c>
      <c r="L19" s="42"/>
      <c r="M19" t="s">
        <v>110</v>
      </c>
      <c r="N19">
        <v>5.707421825725377</v>
      </c>
      <c r="O19">
        <v>0.37548517755798783</v>
      </c>
      <c r="P19">
        <v>15.200125509199241</v>
      </c>
      <c r="Q19">
        <v>3.3395543704430275E-9</v>
      </c>
      <c r="R19">
        <v>4.8893099035121557</v>
      </c>
      <c r="S19">
        <v>6.5255337479385984</v>
      </c>
      <c r="T19">
        <v>4.8893099035121557</v>
      </c>
      <c r="U19">
        <v>6.5255337479385984</v>
      </c>
    </row>
    <row r="20" spans="3:21">
      <c r="C20" s="82"/>
      <c r="D20" s="82"/>
      <c r="E20" s="82"/>
      <c r="F20" s="82"/>
      <c r="G20" s="82"/>
      <c r="H20" s="82"/>
      <c r="I20" s="4">
        <f>'Q13-Expt CCD'!M40</f>
        <v>1.7450000000000001</v>
      </c>
      <c r="L20" s="81"/>
      <c r="M20" t="s">
        <v>123</v>
      </c>
      <c r="N20">
        <v>0.79114198902133603</v>
      </c>
      <c r="O20">
        <v>0.39349655103617548</v>
      </c>
      <c r="P20">
        <v>2.0105436424742735</v>
      </c>
      <c r="Q20">
        <v>6.7395876648706915E-2</v>
      </c>
      <c r="R20">
        <v>-6.6213344806088439E-2</v>
      </c>
      <c r="S20">
        <v>1.6484973228487605</v>
      </c>
      <c r="T20">
        <v>-6.6213344806088439E-2</v>
      </c>
      <c r="U20">
        <v>1.6484973228487605</v>
      </c>
    </row>
    <row r="21" spans="3:21" ht="16" thickBot="1">
      <c r="C21" s="82"/>
      <c r="D21" s="82"/>
      <c r="E21" s="82"/>
      <c r="F21" s="82"/>
      <c r="G21" s="82"/>
      <c r="H21" s="82"/>
      <c r="I21" s="4">
        <f>'Q13-Expt CCD'!M41</f>
        <v>1.49</v>
      </c>
      <c r="L21" s="81"/>
      <c r="M21" s="75" t="s">
        <v>125</v>
      </c>
      <c r="N21" s="75">
        <v>0.95905626135871058</v>
      </c>
      <c r="O21" s="75">
        <v>0.39349655103617548</v>
      </c>
      <c r="P21" s="75">
        <v>2.4372672615129001</v>
      </c>
      <c r="Q21" s="75">
        <v>3.1313871988701773E-2</v>
      </c>
      <c r="R21" s="75">
        <v>0.10170092753128611</v>
      </c>
      <c r="S21" s="75">
        <v>1.816411595186135</v>
      </c>
      <c r="T21" s="75">
        <v>0.10170092753128611</v>
      </c>
      <c r="U21" s="75">
        <v>1.816411595186135</v>
      </c>
    </row>
    <row r="22" spans="3:21" ht="15" customHeight="1">
      <c r="C22" s="82"/>
      <c r="D22" s="82"/>
      <c r="E22" s="82"/>
      <c r="F22" s="82"/>
      <c r="G22" s="82"/>
      <c r="H22" s="82"/>
      <c r="I22" s="4">
        <f>'Q13-Expt CCD'!M42</f>
        <v>1.74</v>
      </c>
    </row>
    <row r="23" spans="3:21" ht="15" customHeight="1">
      <c r="C23" s="82"/>
      <c r="D23" s="82"/>
      <c r="E23" s="82"/>
      <c r="F23" s="82"/>
      <c r="G23" s="82"/>
      <c r="H23" s="82"/>
      <c r="I23" s="4">
        <f>'Q13-Expt CCD'!M43</f>
        <v>1.9350000000000001</v>
      </c>
    </row>
    <row r="24" spans="3:21" ht="15" customHeight="1">
      <c r="C24" s="82"/>
      <c r="D24" s="82"/>
      <c r="E24" s="82"/>
      <c r="F24" s="82"/>
      <c r="G24" s="82"/>
      <c r="H24" s="82"/>
      <c r="I24" s="4">
        <f>'Q13-Expt CCD'!M44</f>
        <v>1.72</v>
      </c>
    </row>
    <row r="25" spans="3:21">
      <c r="C25" s="82"/>
      <c r="D25" s="82"/>
      <c r="E25" s="82"/>
      <c r="F25" s="82"/>
      <c r="G25" s="82"/>
      <c r="H25" s="82"/>
      <c r="I25" s="4">
        <f>'Q13-Expt CCD'!M45</f>
        <v>1.8900000000000001</v>
      </c>
    </row>
    <row r="26" spans="3:21">
      <c r="C26" s="82"/>
      <c r="D26" s="82"/>
      <c r="E26" s="82"/>
      <c r="F26" s="82"/>
      <c r="G26" s="82"/>
      <c r="H26" s="82"/>
      <c r="I26" s="5">
        <f>'Q13-Expt CCD'!M46</f>
        <v>1.31</v>
      </c>
    </row>
    <row r="27" spans="3:21">
      <c r="C27" s="82"/>
      <c r="D27" s="82"/>
      <c r="E27" s="82"/>
      <c r="F27" s="82"/>
      <c r="G27" s="82"/>
      <c r="H27" s="82"/>
      <c r="I27" s="4">
        <f>'Q13-Expt CCD'!M47</f>
        <v>2.02</v>
      </c>
    </row>
    <row r="28" spans="3:21">
      <c r="C28" s="82"/>
      <c r="D28" s="82"/>
      <c r="E28" s="82"/>
      <c r="F28" s="82"/>
      <c r="G28" s="82"/>
      <c r="H28" s="82"/>
      <c r="I28" s="4">
        <f>'Q13-Expt CCD'!M48</f>
        <v>2.1950000000000003</v>
      </c>
    </row>
    <row r="29" spans="3:21" ht="15" customHeight="1">
      <c r="C29" s="82"/>
      <c r="D29" s="82"/>
      <c r="E29" s="82"/>
      <c r="F29" s="82"/>
      <c r="G29" s="82"/>
      <c r="H29" s="82"/>
      <c r="I29" s="4">
        <f>'Q13-Expt CCD'!M49</f>
        <v>1.135</v>
      </c>
    </row>
    <row r="30" spans="3:21">
      <c r="C30" s="82"/>
      <c r="D30" s="82"/>
      <c r="E30" s="82"/>
      <c r="F30" s="82"/>
      <c r="G30" s="82"/>
      <c r="H30" s="82"/>
      <c r="I30" s="4">
        <f>'Q13-Expt CCD'!M50</f>
        <v>2.7750000000000004</v>
      </c>
    </row>
    <row r="31" spans="3:21">
      <c r="C31" s="82"/>
      <c r="D31" s="82"/>
      <c r="E31" s="82"/>
      <c r="F31" s="82"/>
      <c r="G31" s="82"/>
      <c r="H31" s="82"/>
      <c r="I31" s="4">
        <f>'Q13-Expt CCD'!M51</f>
        <v>1.28</v>
      </c>
    </row>
    <row r="32" spans="3:21">
      <c r="C32" s="82"/>
      <c r="D32" s="82"/>
      <c r="E32" s="82"/>
      <c r="F32" s="82"/>
      <c r="G32" s="82"/>
      <c r="H32" s="82"/>
      <c r="I32" s="4">
        <f>'Q13-Expt CCD'!M52</f>
        <v>2.0350000000000001</v>
      </c>
    </row>
    <row r="33" spans="3:9">
      <c r="C33" s="82"/>
      <c r="D33" s="82"/>
      <c r="E33" s="82"/>
      <c r="F33" s="82"/>
      <c r="G33" s="82"/>
      <c r="H33" s="82"/>
      <c r="I33" s="5">
        <f>'Q13-Expt CCD'!M53</f>
        <v>2.2749999999999999</v>
      </c>
    </row>
    <row r="36" spans="3:9" ht="15" customHeight="1"/>
    <row r="37" spans="3:9" ht="15" customHeight="1"/>
    <row r="38" spans="3:9" ht="15" customHeight="1"/>
    <row r="39" spans="3:9" ht="15" customHeight="1"/>
    <row r="40" spans="3:9" ht="15" customHeight="1"/>
    <row r="41" spans="3:9" ht="15" customHeight="1"/>
    <row r="42" spans="3:9" ht="15" customHeight="1"/>
    <row r="43" spans="3:9" ht="15" customHeight="1"/>
    <row r="44" spans="3:9" ht="15" customHeight="1"/>
    <row r="45" spans="3:9" ht="15" customHeight="1"/>
    <row r="46" spans="3:9" ht="15" customHeight="1"/>
    <row r="47" spans="3:9" ht="15" customHeight="1"/>
    <row r="48" spans="3:9" ht="15" customHeight="1"/>
    <row r="49" spans="1:10" ht="15" customHeight="1"/>
    <row r="50" spans="1:10" ht="15" customHeight="1"/>
    <row r="51" spans="1:10" ht="1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</row>
    <row r="52" spans="1:10" ht="1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</row>
    <row r="53" spans="1:10" ht="1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</row>
    <row r="54" spans="1:10" ht="1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</row>
    <row r="55" spans="1:10" ht="1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</row>
    <row r="56" spans="1:10" ht="1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</row>
    <row r="57" spans="1:10" ht="1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</row>
    <row r="58" spans="1:10" ht="16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</row>
    <row r="59" spans="1:10" ht="16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</row>
    <row r="60" spans="1:10" ht="1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</row>
    <row r="61" spans="1:10" ht="1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</row>
    <row r="62" spans="1:10" ht="1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</row>
    <row r="63" spans="1:10" ht="1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</row>
    <row r="64" spans="1:10" ht="1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</row>
    <row r="65" spans="1:10" ht="1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</row>
    <row r="66" spans="1:10" ht="1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</row>
    <row r="67" spans="1:10" ht="1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</row>
    <row r="68" spans="1:10" ht="1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</row>
    <row r="69" spans="1:10" ht="1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</row>
    <row r="70" spans="1:10" ht="1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</row>
    <row r="71" spans="1:10" ht="1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</row>
    <row r="72" spans="1:10" ht="1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</row>
    <row r="73" spans="1:10" ht="1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</row>
    <row r="74" spans="1:10" ht="1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</row>
    <row r="75" spans="1:10" ht="1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</row>
    <row r="76" spans="1:10" ht="1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</row>
    <row r="77" spans="1:10" ht="1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</row>
    <row r="78" spans="1:10" ht="1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</row>
    <row r="79" spans="1:10" ht="1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</row>
    <row r="80" spans="1:10" ht="1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</row>
    <row r="81" spans="1:10" ht="1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</row>
    <row r="82" spans="1:10" ht="1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</row>
    <row r="83" spans="1:10" ht="1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</row>
    <row r="84" spans="1:10" ht="1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</row>
    <row r="85" spans="1:10" ht="1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</row>
  </sheetData>
  <mergeCells count="3">
    <mergeCell ref="B1:I2"/>
    <mergeCell ref="K1:K2"/>
    <mergeCell ref="M1:U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8BF4-7C3E-B641-A684-0BA8E80E9904}">
  <dimension ref="B1:M49"/>
  <sheetViews>
    <sheetView zoomScale="139" zoomScaleNormal="100" workbookViewId="0">
      <selection activeCell="G18" sqref="B1:G18"/>
    </sheetView>
  </sheetViews>
  <sheetFormatPr baseColWidth="10" defaultRowHeight="15"/>
  <sheetData>
    <row r="1" spans="2:13">
      <c r="B1" s="113" t="s">
        <v>129</v>
      </c>
      <c r="C1" s="114"/>
      <c r="D1" s="114"/>
      <c r="E1" s="114"/>
      <c r="F1" s="114"/>
      <c r="G1" s="115"/>
    </row>
    <row r="2" spans="2:13" ht="15" customHeight="1">
      <c r="B2" s="116"/>
      <c r="C2" s="117"/>
      <c r="D2" s="117"/>
      <c r="E2" s="117"/>
      <c r="F2" s="117"/>
      <c r="G2" s="118"/>
      <c r="H2" s="38"/>
    </row>
    <row r="3" spans="2:13" ht="15" customHeight="1">
      <c r="B3" s="12" t="s">
        <v>86</v>
      </c>
      <c r="C3" s="11" t="s">
        <v>66</v>
      </c>
      <c r="D3" s="13" t="s">
        <v>67</v>
      </c>
      <c r="E3" s="12" t="s">
        <v>21</v>
      </c>
      <c r="F3" s="14" t="s">
        <v>89</v>
      </c>
      <c r="G3" s="13" t="s">
        <v>22</v>
      </c>
      <c r="H3" s="38"/>
    </row>
    <row r="4" spans="2:13" ht="18" customHeight="1">
      <c r="B4" s="4" t="s">
        <v>63</v>
      </c>
      <c r="C4" s="59">
        <v>1.3</v>
      </c>
      <c r="D4" s="60">
        <v>1.03</v>
      </c>
      <c r="E4" s="8">
        <f>AVERAGE(C4:D4)</f>
        <v>1.165</v>
      </c>
      <c r="F4" s="2">
        <f>AVERAGE(E4:E5)</f>
        <v>1.4850000000000001</v>
      </c>
      <c r="G4" s="7">
        <f>-10*LOG10((1/E4^2+1/E5^2)/2)</f>
        <v>2.8244102790172181</v>
      </c>
    </row>
    <row r="5" spans="2:13">
      <c r="B5" s="5" t="s">
        <v>64</v>
      </c>
      <c r="C5" s="61">
        <v>1.53</v>
      </c>
      <c r="D5" s="62">
        <v>2.08</v>
      </c>
      <c r="E5" s="5">
        <f>AVERAGE(C5:D5)</f>
        <v>1.8050000000000002</v>
      </c>
    </row>
    <row r="7" spans="2:13">
      <c r="B7" s="12"/>
      <c r="C7" s="11" t="s">
        <v>84</v>
      </c>
      <c r="D7" s="12" t="s">
        <v>86</v>
      </c>
      <c r="E7" s="14" t="s">
        <v>88</v>
      </c>
      <c r="F7" s="13" t="s">
        <v>85</v>
      </c>
    </row>
    <row r="8" spans="2:13">
      <c r="B8" s="4" t="s">
        <v>0</v>
      </c>
      <c r="C8">
        <v>1</v>
      </c>
      <c r="D8" s="6">
        <v>1.6279999999999999</v>
      </c>
      <c r="E8">
        <f>'Q10-11-Verify'!C8</f>
        <v>1</v>
      </c>
      <c r="F8" s="6">
        <f>'Q10-11-Verify'!D8</f>
        <v>1</v>
      </c>
    </row>
    <row r="9" spans="2:13">
      <c r="B9" s="4" t="s">
        <v>1</v>
      </c>
      <c r="C9">
        <v>1</v>
      </c>
      <c r="D9" s="6">
        <v>0</v>
      </c>
      <c r="E9">
        <f>'Q10-11-Verify'!C9</f>
        <v>1</v>
      </c>
      <c r="F9" s="6">
        <f>'Q10-11-Verify'!D9</f>
        <v>1</v>
      </c>
      <c r="J9" s="98"/>
      <c r="K9" s="98"/>
      <c r="L9" s="98"/>
      <c r="M9" s="98"/>
    </row>
    <row r="10" spans="2:13">
      <c r="B10" s="5" t="s">
        <v>24</v>
      </c>
      <c r="C10" s="3">
        <v>1</v>
      </c>
      <c r="D10" s="7">
        <v>1.6279999999999999</v>
      </c>
      <c r="E10" s="2">
        <f>'Q10-11-Verify'!C10</f>
        <v>1</v>
      </c>
      <c r="F10" s="7">
        <f>'Q10-11-Verify'!D10</f>
        <v>1</v>
      </c>
    </row>
    <row r="11" spans="2:13">
      <c r="B11" s="1" t="s">
        <v>21</v>
      </c>
      <c r="C11" s="1">
        <v>3.03</v>
      </c>
      <c r="D11" s="10">
        <f>F4</f>
        <v>1.4850000000000001</v>
      </c>
      <c r="E11">
        <f>'Q10-11-Verify'!C11</f>
        <v>3.03</v>
      </c>
      <c r="F11" s="6">
        <f>'Q10-11-Verify'!D11</f>
        <v>1.0475000000000001</v>
      </c>
    </row>
    <row r="12" spans="2:13">
      <c r="B12" s="5" t="s">
        <v>74</v>
      </c>
      <c r="C12" s="3">
        <f>2.105 * C8*0.186</f>
        <v>0.39152999999999999</v>
      </c>
      <c r="D12" s="3">
        <f>2.105 * D8*0.186</f>
        <v>0.63741083999999992</v>
      </c>
      <c r="E12" s="2">
        <f>'Q10-11-Verify'!C12</f>
        <v>2.76</v>
      </c>
      <c r="F12" s="7">
        <f>'Q10-11-Verify'!D12</f>
        <v>2.76</v>
      </c>
    </row>
    <row r="13" spans="2:13">
      <c r="B13" s="4" t="s">
        <v>22</v>
      </c>
      <c r="C13">
        <v>9.3699999999999992</v>
      </c>
      <c r="D13" s="6">
        <f>G4</f>
        <v>2.8244102790172181</v>
      </c>
      <c r="E13">
        <f>'Q10-11-Verify'!C13</f>
        <v>9.3699999999999992</v>
      </c>
      <c r="F13" s="6">
        <f>'Q10-11-Verify'!D13</f>
        <v>0.30134950986191211</v>
      </c>
    </row>
    <row r="14" spans="2:13">
      <c r="B14" s="5" t="s">
        <v>87</v>
      </c>
      <c r="C14" s="3">
        <f>5.707 + C8*0.79 + C10*0.85</f>
        <v>7.3469999999999995</v>
      </c>
      <c r="D14" s="7">
        <f>5.707 + D8*0.79 + D10*0.85</f>
        <v>8.3769199999999984</v>
      </c>
      <c r="E14" s="2">
        <f>'Q10-11-Verify'!C14</f>
        <v>6.4139999999999997</v>
      </c>
      <c r="F14" s="7">
        <f>'Q10-11-Verify'!D14</f>
        <v>6.4139999999999997</v>
      </c>
    </row>
    <row r="16" spans="2:13">
      <c r="B16" s="12" t="s">
        <v>86</v>
      </c>
      <c r="C16" s="11" t="s">
        <v>90</v>
      </c>
      <c r="D16" s="13" t="s">
        <v>83</v>
      </c>
    </row>
    <row r="17" spans="2:4">
      <c r="B17" s="4" t="s">
        <v>21</v>
      </c>
      <c r="C17">
        <f>D11-D12</f>
        <v>0.84758916000000017</v>
      </c>
      <c r="D17" s="6">
        <f>D11-C11</f>
        <v>-1.5449999999999997</v>
      </c>
    </row>
    <row r="18" spans="2:4">
      <c r="B18" s="5" t="s">
        <v>22</v>
      </c>
      <c r="C18" s="3">
        <f>D13-D14</f>
        <v>-5.5525097209827798</v>
      </c>
      <c r="D18" s="7">
        <f>D13-C13</f>
        <v>-6.5455897209827807</v>
      </c>
    </row>
    <row r="29" spans="2:4" ht="15" customHeight="1"/>
    <row r="30" spans="2:4" ht="15" customHeight="1"/>
    <row r="36" ht="15" customHeight="1"/>
    <row r="37" ht="15" customHeight="1"/>
    <row r="48" ht="15" customHeight="1"/>
    <row r="49" ht="15" customHeight="1"/>
  </sheetData>
  <mergeCells count="1">
    <mergeCell ref="B1:G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Q5-Expt Factorial</vt:lpstr>
      <vt:lpstr>Q6-7-T-test&amp;Model</vt:lpstr>
      <vt:lpstr>Q8-Plot&amp;Bartlett</vt:lpstr>
      <vt:lpstr>Q9-SN&amp;ANOVA</vt:lpstr>
      <vt:lpstr>Q10-11-Verify</vt:lpstr>
      <vt:lpstr>Q13-Expt CCD</vt:lpstr>
      <vt:lpstr>Q14-Regression</vt:lpstr>
      <vt:lpstr>Q15-Refined Model</vt:lpstr>
      <vt:lpstr>Q16-Plot</vt:lpstr>
      <vt:lpstr>Q17-SN Model</vt:lpstr>
      <vt:lpstr>Q18-Refined SN</vt:lpstr>
      <vt:lpstr>Q19-20-Verify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fullmoon</dc:creator>
  <cp:lastModifiedBy>. fullmoon</cp:lastModifiedBy>
  <dcterms:created xsi:type="dcterms:W3CDTF">2025-06-06T20:15:57Z</dcterms:created>
  <dcterms:modified xsi:type="dcterms:W3CDTF">2025-07-17T15:39:05Z</dcterms:modified>
</cp:coreProperties>
</file>