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ornl-my.sharepoint.com/personal/w5i_ornl_gov/Documents/Projects/TruckChoice/truckChoice3.0/"/>
    </mc:Choice>
  </mc:AlternateContent>
  <xr:revisionPtr revIDLastSave="5" documentId="11_32BE1949D97F2E26DF8F07595B490254EEC55610" xr6:coauthVersionLast="47" xr6:coauthVersionMax="47" xr10:uidLastSave="{970579D8-6F1F-4346-9B7D-5D53B0BDD23A}"/>
  <bookViews>
    <workbookView xWindow="735" yWindow="735" windowWidth="16875" windowHeight="10523" xr2:uid="{00000000-000D-0000-FFFF-FFFF00000000}"/>
  </bookViews>
  <sheets>
    <sheet name="Dashboard" sheetId="2" r:id="rId1"/>
    <sheet name="SummarySheet" sheetId="16" r:id="rId2"/>
    <sheet name="Inputs_LDV" sheetId="14" r:id="rId3"/>
    <sheet name="Inputs_HDV" sheetId="13" r:id="rId4"/>
    <sheet name="Vehicle" sheetId="4" r:id="rId5"/>
    <sheet name="ResidualValue" sheetId="15" r:id="rId6"/>
    <sheet name="Fuel Prices" sheetId="3" r:id="rId7"/>
    <sheet name="Insurance" sheetId="5" r:id="rId8"/>
    <sheet name="Maintenance &amp; Repair" sheetId="6" r:id="rId9"/>
    <sheet name="Taxes &amp; Fees" sheetId="7" r:id="rId10"/>
    <sheet name="Operation" sheetId="10" r:id="rId11"/>
    <sheet name="VMT" sheetId="8" r:id="rId12"/>
    <sheet name="Lists" sheetId="9"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E3" i="2"/>
  <c r="F20" i="4" s="1"/>
  <c r="E11" i="2"/>
  <c r="E7" i="2"/>
  <c r="E23" i="2"/>
  <c r="A105" i="6"/>
  <c r="D92" i="6"/>
  <c r="C92" i="6"/>
  <c r="B92" i="6"/>
  <c r="F1" i="3"/>
  <c r="H27" i="2"/>
  <c r="AF26" i="3"/>
  <c r="AE26" i="3"/>
  <c r="AD26" i="3"/>
  <c r="AC26" i="3"/>
  <c r="AB26" i="3"/>
  <c r="AA26" i="3"/>
  <c r="Z26" i="3"/>
  <c r="Y26" i="3"/>
  <c r="X26" i="3"/>
  <c r="W26" i="3"/>
  <c r="V26" i="3"/>
  <c r="U26" i="3"/>
  <c r="T26" i="3"/>
  <c r="S26" i="3"/>
  <c r="R26" i="3"/>
  <c r="Q26" i="3"/>
  <c r="P26" i="3"/>
  <c r="O26" i="3"/>
  <c r="N26" i="3"/>
  <c r="M26" i="3"/>
  <c r="L26" i="3"/>
  <c r="K26" i="3"/>
  <c r="J26" i="3"/>
  <c r="I26" i="3"/>
  <c r="H26" i="3"/>
  <c r="G26" i="3"/>
  <c r="F26" i="3"/>
  <c r="E26" i="3"/>
  <c r="D26" i="3"/>
  <c r="C26" i="3"/>
  <c r="B26" i="3"/>
  <c r="I33" i="4"/>
  <c r="F31" i="4"/>
  <c r="K30" i="4"/>
  <c r="I29" i="4"/>
  <c r="H29" i="4"/>
  <c r="F29" i="4"/>
  <c r="F28" i="4"/>
  <c r="E15" i="2"/>
  <c r="K167" i="4"/>
  <c r="E19" i="2"/>
  <c r="I167" i="4"/>
  <c r="G27" i="4"/>
  <c r="F27" i="4"/>
  <c r="K166" i="4"/>
  <c r="K26" i="4" s="1"/>
  <c r="I166" i="4"/>
  <c r="I26" i="4" s="1"/>
  <c r="H26" i="4"/>
  <c r="K165" i="4"/>
  <c r="K25" i="4" s="1"/>
  <c r="J25" i="4"/>
  <c r="I165" i="4"/>
  <c r="I25" i="4" s="1"/>
  <c r="G25" i="4"/>
  <c r="F25" i="4"/>
  <c r="K164" i="4"/>
  <c r="I164" i="4"/>
  <c r="I24" i="4" s="1"/>
  <c r="H24" i="4"/>
  <c r="G24" i="4"/>
  <c r="K163" i="4"/>
  <c r="K23" i="4" s="1"/>
  <c r="J23" i="4"/>
  <c r="I163" i="4"/>
  <c r="H23" i="4"/>
  <c r="G23" i="4"/>
  <c r="F23" i="4"/>
  <c r="K162" i="4"/>
  <c r="K22" i="4" s="1"/>
  <c r="J22" i="4"/>
  <c r="I162" i="4"/>
  <c r="I22" i="4" s="1"/>
  <c r="H22" i="4"/>
  <c r="G22" i="4"/>
  <c r="F22" i="4"/>
  <c r="K161" i="4"/>
  <c r="K21" i="4" s="1"/>
  <c r="J21" i="4"/>
  <c r="I161" i="4"/>
  <c r="I21" i="4" s="1"/>
  <c r="H21" i="4"/>
  <c r="G21" i="4"/>
  <c r="F21" i="4"/>
  <c r="K160" i="4"/>
  <c r="K20" i="4" s="1"/>
  <c r="J20" i="4"/>
  <c r="I160" i="4"/>
  <c r="I20" i="4" s="1"/>
  <c r="H20" i="4"/>
  <c r="G20" i="4"/>
  <c r="K159" i="4"/>
  <c r="K19" i="4" s="1"/>
  <c r="J19" i="4"/>
  <c r="I159" i="4"/>
  <c r="I19" i="4" s="1"/>
  <c r="H19" i="4"/>
  <c r="G19" i="4"/>
  <c r="F19" i="4"/>
  <c r="K158" i="4"/>
  <c r="K18" i="4" s="1"/>
  <c r="J18" i="4"/>
  <c r="I158" i="4"/>
  <c r="I18" i="4" s="1"/>
  <c r="H18" i="4"/>
  <c r="G18" i="4"/>
  <c r="F18" i="4"/>
  <c r="AA34" i="4"/>
  <c r="Z34" i="4"/>
  <c r="Y34" i="4"/>
  <c r="X34" i="4"/>
  <c r="W34" i="4"/>
  <c r="V34" i="4"/>
  <c r="AA33" i="4"/>
  <c r="Z33" i="4"/>
  <c r="Y33" i="4"/>
  <c r="X33" i="4"/>
  <c r="W33" i="4"/>
  <c r="V33" i="4"/>
  <c r="AA32" i="4"/>
  <c r="Z32" i="4"/>
  <c r="Y32" i="4"/>
  <c r="X32" i="4"/>
  <c r="W32" i="4"/>
  <c r="V32" i="4"/>
  <c r="AA31" i="4"/>
  <c r="Z31" i="4"/>
  <c r="Y31" i="4"/>
  <c r="X31" i="4"/>
  <c r="W31" i="4"/>
  <c r="V31" i="4"/>
  <c r="AA30" i="4"/>
  <c r="Z30" i="4"/>
  <c r="Y30" i="4"/>
  <c r="X30" i="4"/>
  <c r="W30" i="4"/>
  <c r="V30" i="4"/>
  <c r="AA29" i="4"/>
  <c r="Z29" i="4"/>
  <c r="Y29" i="4"/>
  <c r="X29" i="4"/>
  <c r="W29" i="4"/>
  <c r="V29" i="4"/>
  <c r="AA28" i="4"/>
  <c r="Z28" i="4"/>
  <c r="Y28" i="4"/>
  <c r="X28" i="4"/>
  <c r="W28" i="4"/>
  <c r="V28" i="4"/>
  <c r="AA167" i="4"/>
  <c r="AA27" i="4" s="1"/>
  <c r="Z27" i="4"/>
  <c r="Y167" i="4"/>
  <c r="Y27" i="4" s="1"/>
  <c r="X27" i="4"/>
  <c r="W27" i="4"/>
  <c r="V27" i="4"/>
  <c r="AA166" i="4"/>
  <c r="AA26" i="4" s="1"/>
  <c r="Z26" i="4"/>
  <c r="Y166" i="4"/>
  <c r="Y26" i="4" s="1"/>
  <c r="X26" i="4"/>
  <c r="W26" i="4"/>
  <c r="V26" i="4"/>
  <c r="AA165" i="4"/>
  <c r="AA25" i="4" s="1"/>
  <c r="Z25" i="4"/>
  <c r="Y165" i="4"/>
  <c r="Y25" i="4" s="1"/>
  <c r="X25" i="4"/>
  <c r="W25" i="4"/>
  <c r="V25" i="4"/>
  <c r="AA164" i="4"/>
  <c r="AA24" i="4" s="1"/>
  <c r="Z24" i="4"/>
  <c r="Y164" i="4"/>
  <c r="Y24" i="4" s="1"/>
  <c r="X24" i="4"/>
  <c r="W24" i="4"/>
  <c r="V24" i="4"/>
  <c r="AA163" i="4"/>
  <c r="AA23" i="4" s="1"/>
  <c r="Z23" i="4"/>
  <c r="Y163" i="4"/>
  <c r="Y23" i="4" s="1"/>
  <c r="X23" i="4"/>
  <c r="W23" i="4"/>
  <c r="V23" i="4"/>
  <c r="AA162" i="4"/>
  <c r="AA22" i="4" s="1"/>
  <c r="Z22" i="4"/>
  <c r="Y162" i="4"/>
  <c r="Y22" i="4" s="1"/>
  <c r="X22" i="4"/>
  <c r="W22" i="4"/>
  <c r="V22" i="4"/>
  <c r="AA161" i="4"/>
  <c r="AA21" i="4" s="1"/>
  <c r="Z21" i="4"/>
  <c r="Y161" i="4"/>
  <c r="Y21" i="4" s="1"/>
  <c r="X21" i="4"/>
  <c r="W21" i="4"/>
  <c r="V21" i="4"/>
  <c r="AA160" i="4"/>
  <c r="AA20" i="4" s="1"/>
  <c r="Z20" i="4"/>
  <c r="Y160" i="4"/>
  <c r="Y20" i="4" s="1"/>
  <c r="X20" i="4"/>
  <c r="W20" i="4"/>
  <c r="V20" i="4"/>
  <c r="AA159" i="4"/>
  <c r="AA19" i="4" s="1"/>
  <c r="Z19" i="4"/>
  <c r="Y159" i="4"/>
  <c r="Y19" i="4" s="1"/>
  <c r="X19" i="4"/>
  <c r="W19" i="4"/>
  <c r="V19" i="4"/>
  <c r="AA158" i="4"/>
  <c r="AA18" i="4" s="1"/>
  <c r="Z18" i="4"/>
  <c r="Y158" i="4"/>
  <c r="Y18" i="4" s="1"/>
  <c r="X18" i="4"/>
  <c r="W18" i="4"/>
  <c r="V18" i="4"/>
  <c r="S34" i="4"/>
  <c r="R34" i="4"/>
  <c r="Q34" i="4"/>
  <c r="P34" i="4"/>
  <c r="O34" i="4"/>
  <c r="N34" i="4"/>
  <c r="S33" i="4"/>
  <c r="R33" i="4"/>
  <c r="Q33" i="4"/>
  <c r="P33" i="4"/>
  <c r="O33" i="4"/>
  <c r="N33" i="4"/>
  <c r="S32" i="4"/>
  <c r="R32" i="4"/>
  <c r="Q32" i="4"/>
  <c r="P32" i="4"/>
  <c r="O32" i="4"/>
  <c r="N32" i="4"/>
  <c r="S31" i="4"/>
  <c r="R31" i="4"/>
  <c r="Q31" i="4"/>
  <c r="P31" i="4"/>
  <c r="O31" i="4"/>
  <c r="N31" i="4"/>
  <c r="S30" i="4"/>
  <c r="R30" i="4"/>
  <c r="Q30" i="4"/>
  <c r="P30" i="4"/>
  <c r="O30" i="4"/>
  <c r="N30" i="4"/>
  <c r="S29" i="4"/>
  <c r="R29" i="4"/>
  <c r="Q29" i="4"/>
  <c r="P29" i="4"/>
  <c r="O29" i="4"/>
  <c r="N29" i="4"/>
  <c r="S28" i="4"/>
  <c r="R28" i="4"/>
  <c r="Q28" i="4"/>
  <c r="P28" i="4"/>
  <c r="O28" i="4"/>
  <c r="N28" i="4"/>
  <c r="S167" i="4"/>
  <c r="S27" i="4"/>
  <c r="R27" i="4"/>
  <c r="Q307" i="4"/>
  <c r="Q167" i="4"/>
  <c r="Q27" i="4" s="1"/>
  <c r="Q287" i="4"/>
  <c r="Q267" i="4"/>
  <c r="P27" i="4"/>
  <c r="O27" i="4"/>
  <c r="N27" i="4"/>
  <c r="S166" i="4"/>
  <c r="S26" i="4"/>
  <c r="R26" i="4"/>
  <c r="Q306" i="4"/>
  <c r="Q166" i="4"/>
  <c r="Q26" i="4" s="1"/>
  <c r="Q286" i="4"/>
  <c r="Q266" i="4"/>
  <c r="P26" i="4"/>
  <c r="O26" i="4"/>
  <c r="N26" i="4"/>
  <c r="S165" i="4"/>
  <c r="S25" i="4" s="1"/>
  <c r="R25" i="4"/>
  <c r="Q305" i="4"/>
  <c r="Q165" i="4"/>
  <c r="Q25" i="4" s="1"/>
  <c r="Q285" i="4"/>
  <c r="Q265" i="4"/>
  <c r="P25" i="4"/>
  <c r="O25" i="4"/>
  <c r="N25" i="4"/>
  <c r="S164" i="4"/>
  <c r="S24" i="4" s="1"/>
  <c r="R24" i="4"/>
  <c r="Q304" i="4"/>
  <c r="Q164" i="4"/>
  <c r="Q24" i="4" s="1"/>
  <c r="Q284" i="4"/>
  <c r="Q264" i="4"/>
  <c r="P24" i="4"/>
  <c r="O24" i="4"/>
  <c r="N24" i="4"/>
  <c r="S163" i="4"/>
  <c r="S23" i="4" s="1"/>
  <c r="R23" i="4"/>
  <c r="Q303" i="4"/>
  <c r="Q163" i="4"/>
  <c r="Q23" i="4" s="1"/>
  <c r="Q283" i="4"/>
  <c r="Q263" i="4"/>
  <c r="P23" i="4"/>
  <c r="O23" i="4"/>
  <c r="N23" i="4"/>
  <c r="S162" i="4"/>
  <c r="S22" i="4" s="1"/>
  <c r="R22" i="4"/>
  <c r="Q302" i="4"/>
  <c r="Q162" i="4"/>
  <c r="Q22" i="4" s="1"/>
  <c r="Q282" i="4"/>
  <c r="Q262" i="4"/>
  <c r="P22" i="4"/>
  <c r="O22" i="4"/>
  <c r="N22" i="4"/>
  <c r="S161" i="4"/>
  <c r="S21" i="4" s="1"/>
  <c r="R21" i="4"/>
  <c r="Q301" i="4"/>
  <c r="Q161" i="4"/>
  <c r="Q21" i="4" s="1"/>
  <c r="Q281" i="4"/>
  <c r="Q261" i="4"/>
  <c r="P21" i="4"/>
  <c r="O21" i="4"/>
  <c r="N21" i="4"/>
  <c r="S160" i="4"/>
  <c r="S20" i="4" s="1"/>
  <c r="R20" i="4"/>
  <c r="Q300" i="4"/>
  <c r="Q160" i="4"/>
  <c r="Q20" i="4" s="1"/>
  <c r="Q280" i="4"/>
  <c r="Q260" i="4"/>
  <c r="P20" i="4"/>
  <c r="O20" i="4"/>
  <c r="N20" i="4"/>
  <c r="S159" i="4"/>
  <c r="S19" i="4"/>
  <c r="R19" i="4"/>
  <c r="Q299" i="4"/>
  <c r="Q159" i="4"/>
  <c r="Q19" i="4" s="1"/>
  <c r="Q279" i="4"/>
  <c r="Q259" i="4"/>
  <c r="P19" i="4"/>
  <c r="O19" i="4"/>
  <c r="N19" i="4"/>
  <c r="S158" i="4"/>
  <c r="S18" i="4"/>
  <c r="R18" i="4"/>
  <c r="Q298" i="4"/>
  <c r="Q158" i="4"/>
  <c r="Q18" i="4" s="1"/>
  <c r="Q278" i="4"/>
  <c r="Q258" i="4"/>
  <c r="P18" i="4"/>
  <c r="O18" i="4"/>
  <c r="N18" i="4"/>
  <c r="I287" i="4"/>
  <c r="I267" i="4"/>
  <c r="I306" i="4"/>
  <c r="I286" i="4"/>
  <c r="I266" i="4"/>
  <c r="I305" i="4"/>
  <c r="I285" i="4"/>
  <c r="I265" i="4"/>
  <c r="I304" i="4"/>
  <c r="I284" i="4"/>
  <c r="I264" i="4"/>
  <c r="I303" i="4"/>
  <c r="I283" i="4"/>
  <c r="I263" i="4"/>
  <c r="I302" i="4"/>
  <c r="I282" i="4"/>
  <c r="I262" i="4"/>
  <c r="I301" i="4"/>
  <c r="I281" i="4"/>
  <c r="I261" i="4"/>
  <c r="I300" i="4"/>
  <c r="I280" i="4"/>
  <c r="I260" i="4"/>
  <c r="I299" i="4"/>
  <c r="I279" i="4"/>
  <c r="I259" i="4"/>
  <c r="I298" i="4"/>
  <c r="I278" i="4"/>
  <c r="I258" i="4"/>
  <c r="F6" i="9"/>
  <c r="B20" i="2" s="1"/>
  <c r="B1" i="7" s="1"/>
  <c r="S307" i="4"/>
  <c r="S306" i="4"/>
  <c r="S305" i="4"/>
  <c r="S304" i="4"/>
  <c r="S303" i="4"/>
  <c r="S302" i="4"/>
  <c r="S301" i="4"/>
  <c r="S300" i="4"/>
  <c r="S299" i="4"/>
  <c r="S298" i="4"/>
  <c r="K306" i="4"/>
  <c r="K305" i="4"/>
  <c r="K304" i="4"/>
  <c r="K303" i="4"/>
  <c r="K302" i="4"/>
  <c r="K301" i="4"/>
  <c r="K300" i="4"/>
  <c r="K299" i="4"/>
  <c r="K298" i="4"/>
  <c r="S287" i="4"/>
  <c r="S286" i="4"/>
  <c r="S285" i="4"/>
  <c r="S284" i="4"/>
  <c r="S283" i="4"/>
  <c r="S282" i="4"/>
  <c r="S281" i="4"/>
  <c r="S280" i="4"/>
  <c r="S279" i="4"/>
  <c r="S278" i="4"/>
  <c r="V9" i="9"/>
  <c r="B3" i="2" s="1"/>
  <c r="N29" i="2" s="1"/>
  <c r="H3" i="2"/>
  <c r="Y43" i="2" s="1"/>
  <c r="H23" i="2"/>
  <c r="A17" i="4" s="1"/>
  <c r="AG14" i="4"/>
  <c r="AD280" i="4" s="1"/>
  <c r="AD28" i="4"/>
  <c r="Y58" i="4"/>
  <c r="Y59" i="4"/>
  <c r="Y60" i="4"/>
  <c r="Y61" i="4"/>
  <c r="Y62" i="4"/>
  <c r="Y63" i="4"/>
  <c r="Y64" i="4"/>
  <c r="Y65" i="4"/>
  <c r="Y66" i="4"/>
  <c r="Y67" i="4"/>
  <c r="Y78" i="4"/>
  <c r="Y79" i="4"/>
  <c r="Y80" i="4"/>
  <c r="Y81" i="4"/>
  <c r="Y82" i="4"/>
  <c r="Y83" i="4"/>
  <c r="Y84" i="4"/>
  <c r="Y85" i="4"/>
  <c r="Y86" i="4"/>
  <c r="Y87" i="4"/>
  <c r="Y98" i="4"/>
  <c r="Y99" i="4"/>
  <c r="Y100" i="4"/>
  <c r="Y101" i="4"/>
  <c r="Y102" i="4"/>
  <c r="Y103" i="4"/>
  <c r="Y104" i="4"/>
  <c r="Y105" i="4"/>
  <c r="Y106" i="4"/>
  <c r="Y107" i="4"/>
  <c r="Y118" i="4"/>
  <c r="Y119" i="4"/>
  <c r="Y120" i="4"/>
  <c r="Y121" i="4"/>
  <c r="Y122" i="4"/>
  <c r="Y123" i="4"/>
  <c r="Y124" i="4"/>
  <c r="Y125" i="4"/>
  <c r="Y126" i="4"/>
  <c r="Y127" i="4"/>
  <c r="Y138" i="4"/>
  <c r="Y139" i="4"/>
  <c r="Y140" i="4"/>
  <c r="Y141" i="4"/>
  <c r="Y142" i="4"/>
  <c r="Y143" i="4"/>
  <c r="Y144" i="4"/>
  <c r="Y145" i="4"/>
  <c r="Y146" i="4"/>
  <c r="Y147" i="4"/>
  <c r="Y178" i="4"/>
  <c r="Y179" i="4"/>
  <c r="Y180" i="4"/>
  <c r="Y181" i="4"/>
  <c r="Y182" i="4"/>
  <c r="Y183" i="4"/>
  <c r="Y184" i="4"/>
  <c r="Y185" i="4"/>
  <c r="Y186" i="4"/>
  <c r="Y187" i="4"/>
  <c r="Y198" i="4"/>
  <c r="Y199" i="4"/>
  <c r="Y200" i="4"/>
  <c r="Y201" i="4"/>
  <c r="Y202" i="4"/>
  <c r="Y203" i="4"/>
  <c r="Y204" i="4"/>
  <c r="Y205" i="4"/>
  <c r="Y206" i="4"/>
  <c r="Y207" i="4"/>
  <c r="Y218" i="4"/>
  <c r="Y219" i="4"/>
  <c r="Y220" i="4"/>
  <c r="Y221" i="4"/>
  <c r="Y222" i="4"/>
  <c r="Y223" i="4"/>
  <c r="Y224" i="4"/>
  <c r="Y225" i="4"/>
  <c r="Y226" i="4"/>
  <c r="Y227" i="4"/>
  <c r="Y238" i="4"/>
  <c r="Y239" i="4"/>
  <c r="Y240" i="4"/>
  <c r="Y241" i="4"/>
  <c r="Y242" i="4"/>
  <c r="Y243" i="4"/>
  <c r="Y244" i="4"/>
  <c r="Y245" i="4"/>
  <c r="Y246" i="4"/>
  <c r="Y247" i="4"/>
  <c r="AC28" i="4"/>
  <c r="A9" i="3"/>
  <c r="C26" i="10" s="1"/>
  <c r="C64" i="16" s="1"/>
  <c r="K19" i="2"/>
  <c r="C38" i="16" s="1"/>
  <c r="K15" i="2"/>
  <c r="C37" i="16" s="1"/>
  <c r="H4" i="2"/>
  <c r="Z40" i="2" s="1"/>
  <c r="Z62" i="2" s="1"/>
  <c r="Z73" i="2" s="1"/>
  <c r="H7" i="2"/>
  <c r="D1" i="5"/>
  <c r="E1" i="5" s="1"/>
  <c r="B26" i="5" s="1"/>
  <c r="H31" i="2"/>
  <c r="A12" i="5" s="1"/>
  <c r="L7" i="5" s="1"/>
  <c r="H11" i="2"/>
  <c r="C28" i="16" s="1"/>
  <c r="H15" i="2"/>
  <c r="C29" i="16" s="1"/>
  <c r="T38" i="2"/>
  <c r="T60" i="2" s="1"/>
  <c r="T71" i="2" s="1"/>
  <c r="C68" i="16"/>
  <c r="C67" i="16"/>
  <c r="C66" i="16"/>
  <c r="E106" i="6"/>
  <c r="D108" i="6"/>
  <c r="D106" i="6"/>
  <c r="C53" i="16"/>
  <c r="B31" i="5"/>
  <c r="D38" i="5"/>
  <c r="E38" i="5" s="1"/>
  <c r="F38" i="5" s="1"/>
  <c r="G38" i="5" s="1"/>
  <c r="H38" i="5" s="1"/>
  <c r="I38" i="5" s="1"/>
  <c r="J38" i="5" s="1"/>
  <c r="K38" i="5" s="1"/>
  <c r="L38" i="5" s="1"/>
  <c r="M38" i="5" s="1"/>
  <c r="N38" i="5" s="1"/>
  <c r="O38" i="5" s="1"/>
  <c r="P38" i="5" s="1"/>
  <c r="Q38" i="5" s="1"/>
  <c r="R38" i="5" s="1"/>
  <c r="S38" i="5" s="1"/>
  <c r="T38" i="5" s="1"/>
  <c r="U38" i="5" s="1"/>
  <c r="V38" i="5" s="1"/>
  <c r="W38" i="5" s="1"/>
  <c r="X38" i="5" s="1"/>
  <c r="Y38" i="5" s="1"/>
  <c r="Z38" i="5" s="1"/>
  <c r="AA38" i="5" s="1"/>
  <c r="AB38" i="5" s="1"/>
  <c r="AC38" i="5" s="1"/>
  <c r="AD38" i="5" s="1"/>
  <c r="AE38" i="5" s="1"/>
  <c r="AF38" i="5" s="1"/>
  <c r="D37" i="5"/>
  <c r="E37" i="5" s="1"/>
  <c r="F37" i="5" s="1"/>
  <c r="G37" i="5" s="1"/>
  <c r="H37" i="5" s="1"/>
  <c r="I37" i="5" s="1"/>
  <c r="J37" i="5" s="1"/>
  <c r="K37" i="5"/>
  <c r="L37" i="5"/>
  <c r="M37" i="5" s="1"/>
  <c r="N37" i="5" s="1"/>
  <c r="O37" i="5" s="1"/>
  <c r="P37" i="5" s="1"/>
  <c r="Q37" i="5" s="1"/>
  <c r="R37" i="5" s="1"/>
  <c r="S37" i="5" s="1"/>
  <c r="T37" i="5" s="1"/>
  <c r="U37" i="5" s="1"/>
  <c r="V37" i="5" s="1"/>
  <c r="W37" i="5" s="1"/>
  <c r="X37" i="5" s="1"/>
  <c r="Y37" i="5" s="1"/>
  <c r="Z37" i="5" s="1"/>
  <c r="AA37" i="5" s="1"/>
  <c r="AB37" i="5" s="1"/>
  <c r="AC37" i="5" s="1"/>
  <c r="AD37" i="5" s="1"/>
  <c r="AE37" i="5" s="1"/>
  <c r="AF37" i="5" s="1"/>
  <c r="AK102" i="6"/>
  <c r="AJ102" i="6"/>
  <c r="AI102" i="6"/>
  <c r="AH102" i="6"/>
  <c r="AG102" i="6"/>
  <c r="AF102" i="6"/>
  <c r="AE102" i="6"/>
  <c r="AD102" i="6"/>
  <c r="AC102" i="6"/>
  <c r="AB102" i="6"/>
  <c r="AA102" i="6"/>
  <c r="Z102" i="6"/>
  <c r="Y102" i="6"/>
  <c r="X102" i="6"/>
  <c r="W102" i="6"/>
  <c r="V102" i="6"/>
  <c r="U102" i="6"/>
  <c r="T102" i="6"/>
  <c r="S102" i="6"/>
  <c r="AK101" i="6"/>
  <c r="AJ101" i="6"/>
  <c r="AI101" i="6"/>
  <c r="AH101" i="6"/>
  <c r="AG101" i="6"/>
  <c r="AF101" i="6"/>
  <c r="AE101" i="6"/>
  <c r="AD101" i="6"/>
  <c r="AC101" i="6"/>
  <c r="AB101" i="6"/>
  <c r="AA101" i="6"/>
  <c r="Z101" i="6"/>
  <c r="Y101" i="6"/>
  <c r="X101" i="6"/>
  <c r="W101" i="6"/>
  <c r="V101" i="6"/>
  <c r="U101" i="6"/>
  <c r="T101" i="6"/>
  <c r="S101" i="6"/>
  <c r="AK100" i="6"/>
  <c r="AJ100" i="6"/>
  <c r="AI100" i="6"/>
  <c r="AH100" i="6"/>
  <c r="AG100" i="6"/>
  <c r="AF100" i="6"/>
  <c r="AE100" i="6"/>
  <c r="AD100" i="6"/>
  <c r="AC100" i="6"/>
  <c r="AB100" i="6"/>
  <c r="AA100" i="6"/>
  <c r="Z100" i="6"/>
  <c r="Y100" i="6"/>
  <c r="X100" i="6"/>
  <c r="W100" i="6"/>
  <c r="V100" i="6"/>
  <c r="U100" i="6"/>
  <c r="T100" i="6"/>
  <c r="S100" i="6"/>
  <c r="AK99" i="6"/>
  <c r="AJ99" i="6"/>
  <c r="AI99" i="6"/>
  <c r="AH99" i="6"/>
  <c r="AG99" i="6"/>
  <c r="AF99" i="6"/>
  <c r="AE99" i="6"/>
  <c r="AD99" i="6"/>
  <c r="AC99" i="6"/>
  <c r="AB99" i="6"/>
  <c r="AA99" i="6"/>
  <c r="Z99" i="6"/>
  <c r="Y99" i="6"/>
  <c r="X99" i="6"/>
  <c r="W99" i="6"/>
  <c r="V99" i="6"/>
  <c r="U99" i="6"/>
  <c r="T99" i="6"/>
  <c r="S99" i="6"/>
  <c r="AK98" i="6"/>
  <c r="AJ98" i="6"/>
  <c r="AI98" i="6"/>
  <c r="AH98" i="6"/>
  <c r="AG98" i="6"/>
  <c r="AF98" i="6"/>
  <c r="AE98" i="6"/>
  <c r="AD98" i="6"/>
  <c r="AC98" i="6"/>
  <c r="AB98" i="6"/>
  <c r="AA98" i="6"/>
  <c r="Z98" i="6"/>
  <c r="Y98" i="6"/>
  <c r="X98" i="6"/>
  <c r="W98" i="6"/>
  <c r="V98" i="6"/>
  <c r="U98" i="6"/>
  <c r="T98" i="6"/>
  <c r="S98" i="6"/>
  <c r="AK97" i="6"/>
  <c r="AJ97" i="6"/>
  <c r="AI97" i="6"/>
  <c r="AH97" i="6"/>
  <c r="AG97" i="6"/>
  <c r="AF97" i="6"/>
  <c r="AE97" i="6"/>
  <c r="AD97" i="6"/>
  <c r="AC97" i="6"/>
  <c r="AB97" i="6"/>
  <c r="AA97" i="6"/>
  <c r="Z97" i="6"/>
  <c r="Y97" i="6"/>
  <c r="X97" i="6"/>
  <c r="W97" i="6"/>
  <c r="V97" i="6"/>
  <c r="U97" i="6"/>
  <c r="T97" i="6"/>
  <c r="S97" i="6"/>
  <c r="AK96" i="6"/>
  <c r="AJ96" i="6"/>
  <c r="AI96" i="6"/>
  <c r="AH96" i="6"/>
  <c r="AG96" i="6"/>
  <c r="AF96" i="6"/>
  <c r="AE96" i="6"/>
  <c r="AD96" i="6"/>
  <c r="AC96" i="6"/>
  <c r="AB96" i="6"/>
  <c r="AA96" i="6"/>
  <c r="Z96" i="6"/>
  <c r="Y96" i="6"/>
  <c r="X96" i="6"/>
  <c r="W96" i="6"/>
  <c r="V96" i="6"/>
  <c r="U96" i="6"/>
  <c r="T96" i="6"/>
  <c r="S96" i="6"/>
  <c r="K11" i="2"/>
  <c r="C36" i="16" s="1"/>
  <c r="C63" i="16"/>
  <c r="K7" i="2"/>
  <c r="C35" i="16" s="1"/>
  <c r="F109" i="6"/>
  <c r="E108" i="6"/>
  <c r="E109" i="6"/>
  <c r="D43" i="5"/>
  <c r="E43" i="5"/>
  <c r="F43" i="5" s="1"/>
  <c r="G43" i="5" s="1"/>
  <c r="H43" i="5" s="1"/>
  <c r="I43" i="5" s="1"/>
  <c r="J43" i="5" s="1"/>
  <c r="K43" i="5" s="1"/>
  <c r="L43" i="5" s="1"/>
  <c r="M43" i="5" s="1"/>
  <c r="N43" i="5" s="1"/>
  <c r="O43" i="5" s="1"/>
  <c r="P43" i="5" s="1"/>
  <c r="Q43" i="5" s="1"/>
  <c r="R43" i="5" s="1"/>
  <c r="S43" i="5" s="1"/>
  <c r="T43" i="5" s="1"/>
  <c r="U43" i="5" s="1"/>
  <c r="V43" i="5" s="1"/>
  <c r="W43" i="5" s="1"/>
  <c r="X43" i="5" s="1"/>
  <c r="Y43" i="5" s="1"/>
  <c r="Z43" i="5" s="1"/>
  <c r="AA43" i="5" s="1"/>
  <c r="AB43" i="5" s="1"/>
  <c r="AC43" i="5" s="1"/>
  <c r="AD43" i="5" s="1"/>
  <c r="AE43" i="5" s="1"/>
  <c r="AF43" i="5" s="1"/>
  <c r="D42" i="5"/>
  <c r="E42" i="5" s="1"/>
  <c r="F42" i="5" s="1"/>
  <c r="G42" i="5" s="1"/>
  <c r="H42" i="5" s="1"/>
  <c r="I42" i="5" s="1"/>
  <c r="J42" i="5" s="1"/>
  <c r="K42" i="5" s="1"/>
  <c r="L42" i="5" s="1"/>
  <c r="M42" i="5" s="1"/>
  <c r="N42" i="5" s="1"/>
  <c r="O42" i="5" s="1"/>
  <c r="P42" i="5" s="1"/>
  <c r="Q42" i="5" s="1"/>
  <c r="R42" i="5" s="1"/>
  <c r="S42" i="5" s="1"/>
  <c r="T42" i="5" s="1"/>
  <c r="U42" i="5" s="1"/>
  <c r="V42" i="5" s="1"/>
  <c r="W42" i="5" s="1"/>
  <c r="X42" i="5" s="1"/>
  <c r="Y42" i="5"/>
  <c r="Z42" i="5" s="1"/>
  <c r="AA42" i="5" s="1"/>
  <c r="AB42" i="5" s="1"/>
  <c r="AC42" i="5" s="1"/>
  <c r="AD42" i="5" s="1"/>
  <c r="AE42" i="5" s="1"/>
  <c r="AF42" i="5" s="1"/>
  <c r="D41" i="5"/>
  <c r="E41" i="5" s="1"/>
  <c r="F41" i="5" s="1"/>
  <c r="G41" i="5" s="1"/>
  <c r="H41" i="5" s="1"/>
  <c r="I41" i="5" s="1"/>
  <c r="J41" i="5" s="1"/>
  <c r="K41" i="5" s="1"/>
  <c r="L41" i="5" s="1"/>
  <c r="M41" i="5" s="1"/>
  <c r="N41" i="5" s="1"/>
  <c r="O41" i="5" s="1"/>
  <c r="P41" i="5" s="1"/>
  <c r="Q41" i="5" s="1"/>
  <c r="R41" i="5" s="1"/>
  <c r="S41" i="5" s="1"/>
  <c r="T41" i="5" s="1"/>
  <c r="U41" i="5" s="1"/>
  <c r="V41" i="5" s="1"/>
  <c r="W41" i="5" s="1"/>
  <c r="X41" i="5" s="1"/>
  <c r="Y41" i="5" s="1"/>
  <c r="Z41" i="5" s="1"/>
  <c r="AA41" i="5" s="1"/>
  <c r="AB41" i="5" s="1"/>
  <c r="AC41" i="5" s="1"/>
  <c r="AD41" i="5" s="1"/>
  <c r="AE41" i="5" s="1"/>
  <c r="AF41" i="5" s="1"/>
  <c r="D40" i="5"/>
  <c r="E40" i="5"/>
  <c r="F40" i="5"/>
  <c r="G40" i="5" s="1"/>
  <c r="H40" i="5" s="1"/>
  <c r="I40" i="5" s="1"/>
  <c r="J40" i="5" s="1"/>
  <c r="K40" i="5" s="1"/>
  <c r="L40" i="5" s="1"/>
  <c r="M40" i="5" s="1"/>
  <c r="N40" i="5" s="1"/>
  <c r="O40" i="5" s="1"/>
  <c r="P40" i="5" s="1"/>
  <c r="Q40" i="5" s="1"/>
  <c r="R40" i="5" s="1"/>
  <c r="S40" i="5" s="1"/>
  <c r="T40" i="5" s="1"/>
  <c r="U40" i="5" s="1"/>
  <c r="V40" i="5" s="1"/>
  <c r="W40" i="5"/>
  <c r="X40" i="5" s="1"/>
  <c r="Y40" i="5" s="1"/>
  <c r="Z40" i="5" s="1"/>
  <c r="AA40" i="5" s="1"/>
  <c r="AB40" i="5" s="1"/>
  <c r="AC40" i="5" s="1"/>
  <c r="AD40" i="5" s="1"/>
  <c r="AE40" i="5" s="1"/>
  <c r="AF40" i="5" s="1"/>
  <c r="D39" i="5"/>
  <c r="E39" i="5"/>
  <c r="F39" i="5" s="1"/>
  <c r="G39" i="5" s="1"/>
  <c r="H39" i="5" s="1"/>
  <c r="I39" i="5" s="1"/>
  <c r="J39" i="5" s="1"/>
  <c r="K39" i="5" s="1"/>
  <c r="L39" i="5" s="1"/>
  <c r="M39" i="5" s="1"/>
  <c r="N39" i="5" s="1"/>
  <c r="O39" i="5" s="1"/>
  <c r="P39" i="5" s="1"/>
  <c r="Q39" i="5" s="1"/>
  <c r="R39" i="5" s="1"/>
  <c r="S39" i="5" s="1"/>
  <c r="T39" i="5" s="1"/>
  <c r="U39" i="5" s="1"/>
  <c r="V39" i="5" s="1"/>
  <c r="W39" i="5" s="1"/>
  <c r="X39" i="5" s="1"/>
  <c r="Y39" i="5" s="1"/>
  <c r="Z39" i="5" s="1"/>
  <c r="AA39" i="5" s="1"/>
  <c r="AB39" i="5" s="1"/>
  <c r="AC39" i="5" s="1"/>
  <c r="AD39" i="5" s="1"/>
  <c r="AE39" i="5" s="1"/>
  <c r="AF39" i="5" s="1"/>
  <c r="C24" i="16"/>
  <c r="C60" i="16"/>
  <c r="C59" i="16"/>
  <c r="C65" i="16"/>
  <c r="F9" i="9"/>
  <c r="B27" i="2" s="1"/>
  <c r="B1" i="3" s="1"/>
  <c r="D21" i="8"/>
  <c r="E21" i="8" s="1"/>
  <c r="F21" i="8" s="1"/>
  <c r="G21" i="8" s="1"/>
  <c r="H21" i="8" s="1"/>
  <c r="I21" i="8" s="1"/>
  <c r="J21" i="8" s="1"/>
  <c r="K21" i="8" s="1"/>
  <c r="L21" i="8" s="1"/>
  <c r="M21" i="8" s="1"/>
  <c r="N21" i="8" s="1"/>
  <c r="O21" i="8" s="1"/>
  <c r="P21" i="8" s="1"/>
  <c r="Q21" i="8" s="1"/>
  <c r="R21" i="8" s="1"/>
  <c r="S21" i="8" s="1"/>
  <c r="T21" i="8" s="1"/>
  <c r="U21" i="8" s="1"/>
  <c r="V21" i="8" s="1"/>
  <c r="W21" i="8" s="1"/>
  <c r="X21" i="8" s="1"/>
  <c r="Y21" i="8" s="1"/>
  <c r="Z21" i="8" s="1"/>
  <c r="AA21" i="8" s="1"/>
  <c r="AB21" i="8" s="1"/>
  <c r="AC21" i="8" s="1"/>
  <c r="AD21" i="8" s="1"/>
  <c r="AE21" i="8" s="1"/>
  <c r="AF21" i="8" s="1"/>
  <c r="AG21" i="8" s="1"/>
  <c r="AH21" i="8" s="1"/>
  <c r="AI21" i="8" s="1"/>
  <c r="AJ21" i="8" s="1"/>
  <c r="AK21" i="8" s="1"/>
  <c r="A21" i="8"/>
  <c r="L19" i="9" s="1"/>
  <c r="A8" i="8"/>
  <c r="L6" i="9"/>
  <c r="C58" i="16"/>
  <c r="D9" i="7"/>
  <c r="E9" i="7"/>
  <c r="F9" i="7"/>
  <c r="G9" i="7" s="1"/>
  <c r="H9" i="7" s="1"/>
  <c r="C55" i="16"/>
  <c r="C54" i="16"/>
  <c r="C52" i="16"/>
  <c r="G22" i="9"/>
  <c r="F22" i="9"/>
  <c r="E22" i="9"/>
  <c r="C22" i="9"/>
  <c r="B22" i="9"/>
  <c r="G21" i="9"/>
  <c r="F21" i="9"/>
  <c r="G20" i="9"/>
  <c r="F20" i="9"/>
  <c r="G19" i="9"/>
  <c r="F19" i="9"/>
  <c r="E21" i="9"/>
  <c r="C21" i="9"/>
  <c r="C109" i="6"/>
  <c r="D109" i="6"/>
  <c r="C20" i="7"/>
  <c r="C57" i="16"/>
  <c r="C69" i="16"/>
  <c r="B16" i="6"/>
  <c r="C51" i="16"/>
  <c r="C49" i="16"/>
  <c r="C50" i="16"/>
  <c r="C48" i="16"/>
  <c r="C46" i="16"/>
  <c r="C45" i="16"/>
  <c r="C44" i="16"/>
  <c r="C43" i="16"/>
  <c r="C42" i="16"/>
  <c r="C41" i="16"/>
  <c r="C40" i="16"/>
  <c r="H7" i="13"/>
  <c r="C31" i="16"/>
  <c r="Q89" i="3"/>
  <c r="P89" i="3"/>
  <c r="O89" i="3"/>
  <c r="N89" i="3"/>
  <c r="M89" i="3"/>
  <c r="L89" i="3"/>
  <c r="K89" i="3"/>
  <c r="Q78" i="3"/>
  <c r="P78" i="3"/>
  <c r="O78" i="3"/>
  <c r="N78" i="3"/>
  <c r="M78" i="3"/>
  <c r="L78" i="3"/>
  <c r="K78" i="3"/>
  <c r="F16" i="5"/>
  <c r="F17" i="5"/>
  <c r="F15" i="5"/>
  <c r="AI75" i="15"/>
  <c r="AG74" i="15"/>
  <c r="AK73" i="15"/>
  <c r="AH72" i="15"/>
  <c r="AJ70" i="15"/>
  <c r="C78" i="15"/>
  <c r="B82" i="15"/>
  <c r="AJ74" i="15" s="1"/>
  <c r="AK74" i="15"/>
  <c r="B81" i="15"/>
  <c r="B80" i="15"/>
  <c r="AJ72" i="15" s="1"/>
  <c r="AK76" i="15"/>
  <c r="AK91" i="15" s="1"/>
  <c r="B79" i="15"/>
  <c r="AK71" i="15"/>
  <c r="B78" i="15"/>
  <c r="AI70" i="15"/>
  <c r="AI72" i="15"/>
  <c r="AI87" i="15" s="1"/>
  <c r="AG71" i="15"/>
  <c r="AH71" i="15"/>
  <c r="AG76" i="15"/>
  <c r="AI71" i="15"/>
  <c r="AH76" i="15"/>
  <c r="AJ75" i="15"/>
  <c r="AJ90" i="15" s="1"/>
  <c r="AK75" i="15"/>
  <c r="AK72" i="15"/>
  <c r="AI76" i="15"/>
  <c r="AI91" i="15" s="1"/>
  <c r="AI74" i="15"/>
  <c r="AG73" i="15"/>
  <c r="AJ71" i="15"/>
  <c r="AK86" i="15" s="1"/>
  <c r="AG75" i="15"/>
  <c r="AJ76" i="15"/>
  <c r="AH75" i="15"/>
  <c r="C26" i="16"/>
  <c r="C27" i="16"/>
  <c r="O2" i="2"/>
  <c r="H89" i="3"/>
  <c r="G89" i="3"/>
  <c r="F89" i="3"/>
  <c r="E89" i="3"/>
  <c r="D89" i="3"/>
  <c r="C89" i="3"/>
  <c r="B89" i="3"/>
  <c r="H78" i="3"/>
  <c r="G78" i="3"/>
  <c r="F78" i="3"/>
  <c r="E78" i="3"/>
  <c r="D78" i="3"/>
  <c r="C78" i="3"/>
  <c r="B78" i="3"/>
  <c r="H94" i="3"/>
  <c r="Q94" i="3" s="1"/>
  <c r="G94" i="3"/>
  <c r="P94" i="3"/>
  <c r="F94" i="3"/>
  <c r="O94" i="3" s="1"/>
  <c r="E94" i="3"/>
  <c r="N94" i="3" s="1"/>
  <c r="D94" i="3"/>
  <c r="M94" i="3" s="1"/>
  <c r="C94" i="3"/>
  <c r="L94" i="3"/>
  <c r="B94" i="3"/>
  <c r="K94" i="3"/>
  <c r="H83" i="3"/>
  <c r="Q83" i="3" s="1"/>
  <c r="G83" i="3"/>
  <c r="P83" i="3" s="1"/>
  <c r="F83" i="3"/>
  <c r="O83" i="3"/>
  <c r="E83" i="3"/>
  <c r="N83" i="3" s="1"/>
  <c r="D83" i="3"/>
  <c r="M83" i="3" s="1"/>
  <c r="C83" i="3"/>
  <c r="L83" i="3" s="1"/>
  <c r="B83" i="3"/>
  <c r="K83" i="3"/>
  <c r="C77" i="3"/>
  <c r="E77" i="3"/>
  <c r="G77" i="3"/>
  <c r="H82" i="3"/>
  <c r="Q82" i="3" s="1"/>
  <c r="G82" i="3"/>
  <c r="P82" i="3" s="1"/>
  <c r="F82" i="3"/>
  <c r="O82" i="3"/>
  <c r="E82" i="3"/>
  <c r="N82" i="3" s="1"/>
  <c r="D82" i="3"/>
  <c r="M82" i="3" s="1"/>
  <c r="C82" i="3"/>
  <c r="L82" i="3" s="1"/>
  <c r="B82" i="3"/>
  <c r="K82" i="3"/>
  <c r="Q71" i="3"/>
  <c r="P71" i="3"/>
  <c r="O71" i="3"/>
  <c r="N71" i="3"/>
  <c r="M71" i="3"/>
  <c r="L71" i="3"/>
  <c r="K71" i="3"/>
  <c r="Q93" i="3"/>
  <c r="P93" i="3"/>
  <c r="O93" i="3"/>
  <c r="N93" i="3"/>
  <c r="M93" i="3"/>
  <c r="L93" i="3"/>
  <c r="K93" i="3"/>
  <c r="Q67" i="3"/>
  <c r="P67" i="3"/>
  <c r="O67" i="3"/>
  <c r="N67" i="3"/>
  <c r="M67" i="3"/>
  <c r="L67" i="3"/>
  <c r="K67" i="3"/>
  <c r="H67" i="3"/>
  <c r="G67" i="3"/>
  <c r="F67" i="3"/>
  <c r="E67" i="3"/>
  <c r="D67" i="3"/>
  <c r="C67" i="3"/>
  <c r="B67" i="3"/>
  <c r="N31" i="2"/>
  <c r="C20" i="16"/>
  <c r="H22" i="9"/>
  <c r="B1" i="5"/>
  <c r="C17" i="16"/>
  <c r="H20" i="9"/>
  <c r="B20" i="13"/>
  <c r="B20" i="14"/>
  <c r="H72" i="3"/>
  <c r="Q72" i="3"/>
  <c r="G72" i="3"/>
  <c r="P72" i="3" s="1"/>
  <c r="F72" i="3"/>
  <c r="O72" i="3" s="1"/>
  <c r="E72" i="3"/>
  <c r="N72" i="3" s="1"/>
  <c r="D72" i="3"/>
  <c r="M72" i="3"/>
  <c r="C72" i="3"/>
  <c r="L72" i="3"/>
  <c r="B72" i="3"/>
  <c r="Q85" i="3"/>
  <c r="P85" i="3"/>
  <c r="O85" i="3"/>
  <c r="N85" i="3"/>
  <c r="M85" i="3"/>
  <c r="L85" i="3"/>
  <c r="K85" i="3"/>
  <c r="Q74" i="3"/>
  <c r="P74" i="3"/>
  <c r="O74" i="3"/>
  <c r="N74" i="3"/>
  <c r="M74" i="3"/>
  <c r="L74" i="3"/>
  <c r="K74" i="3"/>
  <c r="H86" i="3"/>
  <c r="Q86" i="3" s="1"/>
  <c r="G86" i="3"/>
  <c r="P86" i="3"/>
  <c r="F86" i="3"/>
  <c r="O86" i="3" s="1"/>
  <c r="E86" i="3"/>
  <c r="N86" i="3"/>
  <c r="D86" i="3"/>
  <c r="M86" i="3" s="1"/>
  <c r="C86" i="3"/>
  <c r="L86" i="3"/>
  <c r="B86" i="3"/>
  <c r="K86" i="3" s="1"/>
  <c r="H75" i="3"/>
  <c r="Q75" i="3"/>
  <c r="G75" i="3"/>
  <c r="P75" i="3" s="1"/>
  <c r="F75" i="3"/>
  <c r="O75" i="3"/>
  <c r="E75" i="3"/>
  <c r="N75" i="3" s="1"/>
  <c r="D75" i="3"/>
  <c r="M75" i="3"/>
  <c r="C75" i="3"/>
  <c r="L75" i="3" s="1"/>
  <c r="B75" i="3"/>
  <c r="K75" i="3"/>
  <c r="Q88" i="3"/>
  <c r="O88" i="3"/>
  <c r="M88" i="3"/>
  <c r="K88" i="3"/>
  <c r="H87" i="3"/>
  <c r="G87" i="3"/>
  <c r="F87" i="3"/>
  <c r="E87" i="3"/>
  <c r="D87" i="3"/>
  <c r="C87" i="3"/>
  <c r="B87" i="3"/>
  <c r="H76" i="3"/>
  <c r="G76" i="3"/>
  <c r="F76" i="3"/>
  <c r="E76" i="3"/>
  <c r="D76" i="3"/>
  <c r="C76" i="3"/>
  <c r="B76" i="3"/>
  <c r="H64" i="3"/>
  <c r="Q64" i="3"/>
  <c r="F64" i="3"/>
  <c r="O64" i="3" s="1"/>
  <c r="D64" i="3"/>
  <c r="M64" i="3"/>
  <c r="B64" i="3"/>
  <c r="K64" i="3" s="1"/>
  <c r="H65" i="3"/>
  <c r="G65" i="3"/>
  <c r="F65" i="3"/>
  <c r="E65" i="3"/>
  <c r="D65" i="3"/>
  <c r="C65" i="3"/>
  <c r="B65" i="3"/>
  <c r="Q63" i="3"/>
  <c r="O63" i="3"/>
  <c r="M63" i="3"/>
  <c r="K63" i="3"/>
  <c r="G13" i="7"/>
  <c r="H13" i="7"/>
  <c r="F13" i="7"/>
  <c r="E13" i="7"/>
  <c r="AK46" i="8"/>
  <c r="AK45" i="8"/>
  <c r="F20" i="15"/>
  <c r="C47" i="16"/>
  <c r="K23" i="2"/>
  <c r="C39" i="16"/>
  <c r="C33" i="16"/>
  <c r="D23" i="15"/>
  <c r="E23" i="15"/>
  <c r="F23" i="15"/>
  <c r="G23" i="15"/>
  <c r="H23" i="15" s="1"/>
  <c r="I23" i="15" s="1"/>
  <c r="J23" i="15" s="1"/>
  <c r="K23" i="15" s="1"/>
  <c r="L23" i="15" s="1"/>
  <c r="M23" i="15" s="1"/>
  <c r="N23" i="15"/>
  <c r="O23" i="15" s="1"/>
  <c r="P23" i="15" s="1"/>
  <c r="Q23" i="15" s="1"/>
  <c r="R23" i="15" s="1"/>
  <c r="S23" i="15" s="1"/>
  <c r="T23" i="15" s="1"/>
  <c r="U23" i="15" s="1"/>
  <c r="V23" i="15" s="1"/>
  <c r="W23" i="15" s="1"/>
  <c r="X23" i="15" s="1"/>
  <c r="Y23" i="15" s="1"/>
  <c r="Z23" i="15" s="1"/>
  <c r="AA23" i="15" s="1"/>
  <c r="AB23" i="15" s="1"/>
  <c r="AC23" i="15" s="1"/>
  <c r="AD23" i="15" s="1"/>
  <c r="AE23" i="15" s="1"/>
  <c r="AF23" i="15" s="1"/>
  <c r="AG23" i="15" s="1"/>
  <c r="AH90" i="15"/>
  <c r="AI90" i="15"/>
  <c r="AH86" i="15"/>
  <c r="AI86" i="15"/>
  <c r="AJ89" i="15"/>
  <c r="AH91" i="15"/>
  <c r="AJ91" i="15"/>
  <c r="AJ86" i="15"/>
  <c r="AF66" i="15"/>
  <c r="AE66" i="15"/>
  <c r="AD66" i="15"/>
  <c r="AC66" i="15"/>
  <c r="AB66" i="15"/>
  <c r="AA66" i="15"/>
  <c r="Z66" i="15"/>
  <c r="Y66" i="15"/>
  <c r="X66" i="15"/>
  <c r="W66" i="15"/>
  <c r="V66" i="15"/>
  <c r="U66" i="15"/>
  <c r="T66" i="15"/>
  <c r="S66" i="15"/>
  <c r="R66" i="15"/>
  <c r="Q66" i="15"/>
  <c r="P66" i="15"/>
  <c r="O66" i="15"/>
  <c r="N66" i="15"/>
  <c r="M66" i="15"/>
  <c r="L66" i="15"/>
  <c r="K66" i="15"/>
  <c r="J66" i="15"/>
  <c r="I66" i="15"/>
  <c r="H66" i="15"/>
  <c r="G66" i="15"/>
  <c r="F66" i="15"/>
  <c r="E66" i="15"/>
  <c r="D66" i="15"/>
  <c r="AF65" i="15"/>
  <c r="AE65" i="15"/>
  <c r="AD65" i="15"/>
  <c r="AC65" i="15"/>
  <c r="AB65" i="15"/>
  <c r="AA65" i="15"/>
  <c r="Z65" i="15"/>
  <c r="Y65" i="15"/>
  <c r="X65" i="15"/>
  <c r="W65" i="15"/>
  <c r="V65" i="15"/>
  <c r="U65" i="15"/>
  <c r="T65" i="15"/>
  <c r="S65" i="15"/>
  <c r="R65" i="15"/>
  <c r="Q65" i="15"/>
  <c r="P65" i="15"/>
  <c r="O65" i="15"/>
  <c r="N65" i="15"/>
  <c r="M65" i="15"/>
  <c r="L65" i="15"/>
  <c r="K65" i="15"/>
  <c r="J65" i="15"/>
  <c r="I65" i="15"/>
  <c r="H65" i="15"/>
  <c r="G65" i="15"/>
  <c r="F65" i="15"/>
  <c r="E65" i="15"/>
  <c r="D65" i="15"/>
  <c r="AF64" i="15"/>
  <c r="AE64" i="15"/>
  <c r="AD64" i="15"/>
  <c r="AC64" i="15"/>
  <c r="AB64" i="15"/>
  <c r="AA64" i="15"/>
  <c r="Z64" i="15"/>
  <c r="Y64" i="15"/>
  <c r="X64" i="15"/>
  <c r="W64" i="15"/>
  <c r="V64" i="15"/>
  <c r="U64" i="15"/>
  <c r="T64" i="15"/>
  <c r="S64" i="15"/>
  <c r="R64" i="15"/>
  <c r="Q64" i="15"/>
  <c r="P64" i="15"/>
  <c r="O64" i="15"/>
  <c r="N64" i="15"/>
  <c r="M64" i="15"/>
  <c r="L64" i="15"/>
  <c r="K64" i="15"/>
  <c r="J64" i="15"/>
  <c r="I64" i="15"/>
  <c r="H64" i="15"/>
  <c r="G64" i="15"/>
  <c r="F64" i="15"/>
  <c r="E64" i="15"/>
  <c r="D64" i="15"/>
  <c r="AF63" i="15"/>
  <c r="AE63" i="15"/>
  <c r="AD63" i="15"/>
  <c r="AC63" i="15"/>
  <c r="AB63" i="15"/>
  <c r="AA63" i="15"/>
  <c r="Z63" i="15"/>
  <c r="Y63" i="15"/>
  <c r="X63" i="15"/>
  <c r="W63" i="15"/>
  <c r="V63" i="15"/>
  <c r="U63" i="15"/>
  <c r="T63" i="15"/>
  <c r="S63" i="15"/>
  <c r="R63" i="15"/>
  <c r="Q63" i="15"/>
  <c r="P63" i="15"/>
  <c r="O63" i="15"/>
  <c r="N63" i="15"/>
  <c r="M63" i="15"/>
  <c r="L63" i="15"/>
  <c r="K63" i="15"/>
  <c r="J63" i="15"/>
  <c r="I63" i="15"/>
  <c r="H63" i="15"/>
  <c r="G63" i="15"/>
  <c r="F63" i="15"/>
  <c r="E63" i="15"/>
  <c r="D63" i="15"/>
  <c r="AF62" i="15"/>
  <c r="AE62" i="15"/>
  <c r="AD62" i="15"/>
  <c r="AC62" i="15"/>
  <c r="AB62" i="15"/>
  <c r="AA62" i="15"/>
  <c r="Z62" i="15"/>
  <c r="Y62" i="15"/>
  <c r="X62" i="15"/>
  <c r="W62" i="15"/>
  <c r="V62" i="15"/>
  <c r="U62" i="15"/>
  <c r="T62" i="15"/>
  <c r="S62" i="15"/>
  <c r="R62" i="15"/>
  <c r="Q62" i="15"/>
  <c r="P62" i="15"/>
  <c r="O62" i="15"/>
  <c r="N62" i="15"/>
  <c r="M62" i="15"/>
  <c r="L62" i="15"/>
  <c r="K62" i="15"/>
  <c r="J62" i="15"/>
  <c r="I62" i="15"/>
  <c r="H62" i="15"/>
  <c r="G62" i="15"/>
  <c r="F62" i="15"/>
  <c r="E62" i="15"/>
  <c r="D62" i="15"/>
  <c r="AF61" i="15"/>
  <c r="AE61" i="15"/>
  <c r="AD61" i="15"/>
  <c r="AC61" i="15"/>
  <c r="AB61" i="15"/>
  <c r="AA61" i="15"/>
  <c r="Z61" i="15"/>
  <c r="Y61" i="15"/>
  <c r="X61" i="15"/>
  <c r="W61" i="15"/>
  <c r="V61" i="15"/>
  <c r="U61" i="15"/>
  <c r="T61" i="15"/>
  <c r="S61" i="15"/>
  <c r="R61" i="15"/>
  <c r="Q61" i="15"/>
  <c r="P61" i="15"/>
  <c r="O61" i="15"/>
  <c r="N61" i="15"/>
  <c r="M61" i="15"/>
  <c r="L61" i="15"/>
  <c r="K61" i="15"/>
  <c r="J61" i="15"/>
  <c r="I61" i="15"/>
  <c r="H61" i="15"/>
  <c r="G61" i="15"/>
  <c r="F61" i="15"/>
  <c r="E61" i="15"/>
  <c r="D61" i="15"/>
  <c r="AF60" i="15"/>
  <c r="AE60" i="15"/>
  <c r="AD60" i="15"/>
  <c r="AC60" i="15"/>
  <c r="AB60" i="15"/>
  <c r="AA60" i="15"/>
  <c r="Z60" i="15"/>
  <c r="Y60" i="15"/>
  <c r="X60" i="15"/>
  <c r="W60" i="15"/>
  <c r="V60" i="15"/>
  <c r="U60" i="15"/>
  <c r="T60" i="15"/>
  <c r="S60" i="15"/>
  <c r="R60" i="15"/>
  <c r="Q60" i="15"/>
  <c r="P60" i="15"/>
  <c r="O60" i="15"/>
  <c r="N60" i="15"/>
  <c r="M60" i="15"/>
  <c r="L60" i="15"/>
  <c r="K60" i="15"/>
  <c r="J60" i="15"/>
  <c r="I60" i="15"/>
  <c r="H60" i="15"/>
  <c r="G60" i="15"/>
  <c r="F60" i="15"/>
  <c r="E60" i="15"/>
  <c r="D60" i="15"/>
  <c r="AF59" i="15"/>
  <c r="AE59" i="15"/>
  <c r="AD59" i="15"/>
  <c r="AC59" i="15"/>
  <c r="AB59" i="15"/>
  <c r="AA59" i="15"/>
  <c r="Z59" i="15"/>
  <c r="Y59" i="15"/>
  <c r="X59" i="15"/>
  <c r="W59" i="15"/>
  <c r="V59" i="15"/>
  <c r="U59" i="15"/>
  <c r="T59" i="15"/>
  <c r="S59" i="15"/>
  <c r="R59" i="15"/>
  <c r="Q59" i="15"/>
  <c r="P59" i="15"/>
  <c r="O59" i="15"/>
  <c r="N59" i="15"/>
  <c r="M59" i="15"/>
  <c r="L59" i="15"/>
  <c r="K59" i="15"/>
  <c r="J59" i="15"/>
  <c r="I59" i="15"/>
  <c r="H59" i="15"/>
  <c r="G59" i="15"/>
  <c r="F59" i="15"/>
  <c r="E59" i="15"/>
  <c r="D59" i="15"/>
  <c r="AF58" i="15"/>
  <c r="AE58" i="15"/>
  <c r="AD58" i="15"/>
  <c r="AC58" i="15"/>
  <c r="AB58" i="15"/>
  <c r="AA58" i="15"/>
  <c r="Z58" i="15"/>
  <c r="Y58" i="15"/>
  <c r="X58" i="15"/>
  <c r="W58" i="15"/>
  <c r="V58" i="15"/>
  <c r="U58" i="15"/>
  <c r="T58" i="15"/>
  <c r="S58" i="15"/>
  <c r="R58" i="15"/>
  <c r="Q58" i="15"/>
  <c r="P58" i="15"/>
  <c r="O58" i="15"/>
  <c r="N58" i="15"/>
  <c r="M58" i="15"/>
  <c r="L58" i="15"/>
  <c r="K58" i="15"/>
  <c r="J58" i="15"/>
  <c r="I58" i="15"/>
  <c r="H58" i="15"/>
  <c r="G58" i="15"/>
  <c r="F58" i="15"/>
  <c r="E58" i="15"/>
  <c r="D58" i="15"/>
  <c r="AF57" i="15"/>
  <c r="AE57" i="15"/>
  <c r="AD57" i="15"/>
  <c r="AC57" i="15"/>
  <c r="AB57" i="15"/>
  <c r="AA57" i="15"/>
  <c r="Z57" i="15"/>
  <c r="Y57" i="15"/>
  <c r="X57" i="15"/>
  <c r="W57" i="15"/>
  <c r="V57" i="15"/>
  <c r="U57" i="15"/>
  <c r="T57" i="15"/>
  <c r="S57" i="15"/>
  <c r="R57" i="15"/>
  <c r="Q57" i="15"/>
  <c r="P57" i="15"/>
  <c r="O57" i="15"/>
  <c r="N57" i="15"/>
  <c r="M57" i="15"/>
  <c r="L57" i="15"/>
  <c r="K57" i="15"/>
  <c r="J57" i="15"/>
  <c r="I57" i="15"/>
  <c r="H57" i="15"/>
  <c r="G57" i="15"/>
  <c r="F57" i="15"/>
  <c r="E57" i="15"/>
  <c r="D57" i="15"/>
  <c r="AF56" i="15"/>
  <c r="AE56" i="15"/>
  <c r="AD56" i="15"/>
  <c r="AC56" i="15"/>
  <c r="AB56" i="15"/>
  <c r="AA56" i="15"/>
  <c r="Z56" i="15"/>
  <c r="Y56" i="15"/>
  <c r="X56" i="15"/>
  <c r="W56" i="15"/>
  <c r="V56" i="15"/>
  <c r="U56" i="15"/>
  <c r="T56" i="15"/>
  <c r="S56" i="15"/>
  <c r="R56" i="15"/>
  <c r="Q56" i="15"/>
  <c r="P56" i="15"/>
  <c r="O56" i="15"/>
  <c r="N56" i="15"/>
  <c r="M56" i="15"/>
  <c r="L56" i="15"/>
  <c r="K56" i="15"/>
  <c r="J56" i="15"/>
  <c r="I56" i="15"/>
  <c r="H56" i="15"/>
  <c r="G56" i="15"/>
  <c r="F56" i="15"/>
  <c r="E56" i="15"/>
  <c r="D56" i="15"/>
  <c r="AF55" i="15"/>
  <c r="AE55" i="15"/>
  <c r="AD55" i="15"/>
  <c r="AC55" i="15"/>
  <c r="AB55" i="15"/>
  <c r="AA55" i="15"/>
  <c r="Z55" i="15"/>
  <c r="Y55" i="15"/>
  <c r="X55" i="15"/>
  <c r="W55" i="15"/>
  <c r="V55" i="15"/>
  <c r="U55" i="15"/>
  <c r="T55" i="15"/>
  <c r="S55" i="15"/>
  <c r="R55" i="15"/>
  <c r="Q55" i="15"/>
  <c r="P55" i="15"/>
  <c r="O55" i="15"/>
  <c r="N55" i="15"/>
  <c r="M55" i="15"/>
  <c r="L55" i="15"/>
  <c r="K55" i="15"/>
  <c r="J55" i="15"/>
  <c r="I55" i="15"/>
  <c r="H55" i="15"/>
  <c r="G55" i="15"/>
  <c r="F55" i="15"/>
  <c r="E55" i="15"/>
  <c r="D55" i="15"/>
  <c r="C66" i="15"/>
  <c r="C65" i="15"/>
  <c r="C64" i="15"/>
  <c r="C63" i="15"/>
  <c r="C62" i="15"/>
  <c r="C61" i="15"/>
  <c r="C60" i="15"/>
  <c r="C59" i="15"/>
  <c r="C58" i="15"/>
  <c r="C57" i="15"/>
  <c r="C56" i="15"/>
  <c r="C55" i="15"/>
  <c r="D8" i="8"/>
  <c r="E8" i="8" s="1"/>
  <c r="F8" i="8" s="1"/>
  <c r="G8" i="8" s="1"/>
  <c r="H8" i="8" s="1"/>
  <c r="I8" i="8" s="1"/>
  <c r="J8" i="8" s="1"/>
  <c r="K8" i="8" s="1"/>
  <c r="L8" i="8" s="1"/>
  <c r="M8" i="8" s="1"/>
  <c r="N8" i="8" s="1"/>
  <c r="O8" i="8" s="1"/>
  <c r="P8" i="8" s="1"/>
  <c r="Q8" i="8" s="1"/>
  <c r="R8" i="8" s="1"/>
  <c r="S8" i="8" s="1"/>
  <c r="T8" i="8" s="1"/>
  <c r="U8" i="8" s="1"/>
  <c r="V8" i="8" s="1"/>
  <c r="W8" i="8" s="1"/>
  <c r="X8" i="8" s="1"/>
  <c r="Y8" i="8" s="1"/>
  <c r="Z8" i="8" s="1"/>
  <c r="AA8" i="8" s="1"/>
  <c r="AB8" i="8" s="1"/>
  <c r="AC8" i="8" s="1"/>
  <c r="AD8" i="8" s="1"/>
  <c r="AE8" i="8" s="1"/>
  <c r="AF8" i="8" s="1"/>
  <c r="AG8" i="8" s="1"/>
  <c r="AH8" i="8" s="1"/>
  <c r="AI8" i="8" s="1"/>
  <c r="AJ8" i="8" s="1"/>
  <c r="AK8" i="8" s="1"/>
  <c r="C18" i="16"/>
  <c r="C21" i="16"/>
  <c r="C32" i="16"/>
  <c r="C56" i="16"/>
  <c r="B4" i="14"/>
  <c r="B4" i="13"/>
  <c r="AC32" i="4"/>
  <c r="AC29" i="4"/>
  <c r="AC31" i="4"/>
  <c r="AC30" i="4"/>
  <c r="AC34" i="4"/>
  <c r="AC33" i="4"/>
  <c r="C34" i="16"/>
  <c r="C22" i="16"/>
  <c r="AA245" i="4"/>
  <c r="AA227" i="4"/>
  <c r="AA219" i="4"/>
  <c r="AA201" i="4"/>
  <c r="AA183" i="4"/>
  <c r="AA145" i="4"/>
  <c r="AA127" i="4"/>
  <c r="AA119" i="4"/>
  <c r="AA101" i="4"/>
  <c r="AA83" i="4"/>
  <c r="AA65" i="4"/>
  <c r="S258" i="4"/>
  <c r="S240" i="4"/>
  <c r="S222" i="4"/>
  <c r="S204" i="4"/>
  <c r="S186" i="4"/>
  <c r="S178" i="4"/>
  <c r="S142" i="4"/>
  <c r="S124" i="4"/>
  <c r="S106" i="4"/>
  <c r="S98" i="4"/>
  <c r="S80" i="4"/>
  <c r="S62" i="4"/>
  <c r="S86" i="4"/>
  <c r="S60" i="4"/>
  <c r="S200" i="4"/>
  <c r="S120" i="4"/>
  <c r="S58" i="4"/>
  <c r="AA122" i="4"/>
  <c r="S261" i="4"/>
  <c r="S145" i="4"/>
  <c r="S65" i="4"/>
  <c r="S206" i="4"/>
  <c r="S144" i="4"/>
  <c r="S82" i="4"/>
  <c r="AA220" i="4"/>
  <c r="AA84" i="4"/>
  <c r="S241" i="4"/>
  <c r="S99" i="4"/>
  <c r="AA244" i="4"/>
  <c r="AA226" i="4"/>
  <c r="AA218" i="4"/>
  <c r="AA200" i="4"/>
  <c r="AA182" i="4"/>
  <c r="AA144" i="4"/>
  <c r="AA126" i="4"/>
  <c r="AA118" i="4"/>
  <c r="AA100" i="4"/>
  <c r="AA82" i="4"/>
  <c r="AA64" i="4"/>
  <c r="S247" i="4"/>
  <c r="S239" i="4"/>
  <c r="S221" i="4"/>
  <c r="S203" i="4"/>
  <c r="S185" i="4"/>
  <c r="S141" i="4"/>
  <c r="S123" i="4"/>
  <c r="S105" i="4"/>
  <c r="S87" i="4"/>
  <c r="S79" i="4"/>
  <c r="S61" i="4"/>
  <c r="S104" i="4"/>
  <c r="S67" i="4"/>
  <c r="S102" i="4"/>
  <c r="AA178" i="4"/>
  <c r="AA60" i="4"/>
  <c r="S83" i="4"/>
  <c r="S224" i="4"/>
  <c r="AA120" i="4"/>
  <c r="S143" i="4"/>
  <c r="AA243" i="4"/>
  <c r="AA225" i="4"/>
  <c r="AA207" i="4"/>
  <c r="AA199" i="4"/>
  <c r="AA181" i="4"/>
  <c r="AA143" i="4"/>
  <c r="AA125" i="4"/>
  <c r="AA107" i="4"/>
  <c r="AA99" i="4"/>
  <c r="AA81" i="4"/>
  <c r="AA63" i="4"/>
  <c r="S246" i="4"/>
  <c r="S238" i="4"/>
  <c r="S220" i="4"/>
  <c r="S202" i="4"/>
  <c r="S184" i="4"/>
  <c r="S140" i="4"/>
  <c r="S122" i="4"/>
  <c r="S78" i="4"/>
  <c r="S59" i="4"/>
  <c r="S146" i="4"/>
  <c r="S66" i="4"/>
  <c r="AA104" i="4"/>
  <c r="S243" i="4"/>
  <c r="S127" i="4"/>
  <c r="AA67" i="4"/>
  <c r="S180" i="4"/>
  <c r="S64" i="4"/>
  <c r="AA246" i="4"/>
  <c r="AA102" i="4"/>
  <c r="S223" i="4"/>
  <c r="S107" i="4"/>
  <c r="AA242" i="4"/>
  <c r="AA224" i="4"/>
  <c r="AA206" i="4"/>
  <c r="AA198" i="4"/>
  <c r="AA180" i="4"/>
  <c r="AA142" i="4"/>
  <c r="AA124" i="4"/>
  <c r="AA106" i="4"/>
  <c r="AA98" i="4"/>
  <c r="AA80" i="4"/>
  <c r="AA62" i="4"/>
  <c r="S245" i="4"/>
  <c r="S227" i="4"/>
  <c r="S219" i="4"/>
  <c r="S201" i="4"/>
  <c r="S183" i="4"/>
  <c r="S147" i="4"/>
  <c r="S139" i="4"/>
  <c r="S121" i="4"/>
  <c r="S103" i="4"/>
  <c r="S85" i="4"/>
  <c r="S182" i="4"/>
  <c r="S84" i="4"/>
  <c r="AA140" i="4"/>
  <c r="S207" i="4"/>
  <c r="S119" i="4"/>
  <c r="S242" i="4"/>
  <c r="S126" i="4"/>
  <c r="AA184" i="4"/>
  <c r="S187" i="4"/>
  <c r="S81" i="4"/>
  <c r="AA241" i="4"/>
  <c r="AA223" i="4"/>
  <c r="AA205" i="4"/>
  <c r="AA187" i="4"/>
  <c r="AA179" i="4"/>
  <c r="AA141" i="4"/>
  <c r="AA123" i="4"/>
  <c r="AA105" i="4"/>
  <c r="AA87" i="4"/>
  <c r="AA79" i="4"/>
  <c r="AA61" i="4"/>
  <c r="S262" i="4"/>
  <c r="S244" i="4"/>
  <c r="S226" i="4"/>
  <c r="S218" i="4"/>
  <c r="S138" i="4"/>
  <c r="AA186" i="4"/>
  <c r="AA78" i="4"/>
  <c r="S225" i="4"/>
  <c r="S181" i="4"/>
  <c r="S101" i="4"/>
  <c r="S260" i="4"/>
  <c r="S118" i="4"/>
  <c r="AA238" i="4"/>
  <c r="AA138" i="4"/>
  <c r="S259" i="4"/>
  <c r="S125" i="4"/>
  <c r="AA240" i="4"/>
  <c r="AA222" i="4"/>
  <c r="AA204" i="4"/>
  <c r="AA86" i="4"/>
  <c r="S199" i="4"/>
  <c r="AA58" i="4"/>
  <c r="S198" i="4"/>
  <c r="AA202" i="4"/>
  <c r="AA66" i="4"/>
  <c r="S179" i="4"/>
  <c r="AA247" i="4"/>
  <c r="AA239" i="4"/>
  <c r="AA221" i="4"/>
  <c r="AA203" i="4"/>
  <c r="AA185" i="4"/>
  <c r="AA147" i="4"/>
  <c r="AA139" i="4"/>
  <c r="AA121" i="4"/>
  <c r="AA103" i="4"/>
  <c r="AA85" i="4"/>
  <c r="AA59" i="4"/>
  <c r="S100" i="4"/>
  <c r="AA146" i="4"/>
  <c r="S205" i="4"/>
  <c r="S63" i="4"/>
  <c r="C23" i="16"/>
  <c r="C19" i="16"/>
  <c r="K287" i="4"/>
  <c r="K279" i="4"/>
  <c r="K243" i="4"/>
  <c r="K225" i="4"/>
  <c r="K199" i="4"/>
  <c r="K127" i="4"/>
  <c r="K83" i="4"/>
  <c r="K82" i="4"/>
  <c r="K140" i="4"/>
  <c r="K78" i="4"/>
  <c r="K245" i="4"/>
  <c r="K139" i="4"/>
  <c r="K85" i="4"/>
  <c r="K286" i="4"/>
  <c r="K278" i="4"/>
  <c r="K260" i="4"/>
  <c r="K242" i="4"/>
  <c r="K224" i="4"/>
  <c r="K206" i="4"/>
  <c r="K198" i="4"/>
  <c r="K180" i="4"/>
  <c r="K144" i="4"/>
  <c r="K118" i="4"/>
  <c r="K100" i="4"/>
  <c r="K81" i="4"/>
  <c r="K60" i="4"/>
  <c r="K219" i="4"/>
  <c r="K103" i="4"/>
  <c r="K285" i="4"/>
  <c r="K259" i="4"/>
  <c r="K241" i="4"/>
  <c r="K223" i="4"/>
  <c r="K205" i="4"/>
  <c r="K187" i="4"/>
  <c r="K179" i="4"/>
  <c r="K143" i="4"/>
  <c r="K125" i="4"/>
  <c r="K107" i="4"/>
  <c r="K99" i="4"/>
  <c r="K122" i="4"/>
  <c r="K281" i="4"/>
  <c r="K183" i="4"/>
  <c r="K121" i="4"/>
  <c r="K284" i="4"/>
  <c r="K258" i="4"/>
  <c r="K240" i="4"/>
  <c r="K222" i="4"/>
  <c r="K204" i="4"/>
  <c r="K186" i="4"/>
  <c r="K178" i="4"/>
  <c r="K142" i="4"/>
  <c r="K124" i="4"/>
  <c r="K106" i="4"/>
  <c r="K98" i="4"/>
  <c r="K80" i="4"/>
  <c r="K62" i="4"/>
  <c r="K239" i="4"/>
  <c r="K203" i="4"/>
  <c r="K123" i="4"/>
  <c r="K87" i="4"/>
  <c r="K79" i="4"/>
  <c r="K282" i="4"/>
  <c r="K246" i="4"/>
  <c r="K220" i="4"/>
  <c r="K184" i="4"/>
  <c r="K104" i="4"/>
  <c r="K283" i="4"/>
  <c r="K247" i="4"/>
  <c r="K221" i="4"/>
  <c r="K185" i="4"/>
  <c r="K141" i="4"/>
  <c r="K105" i="4"/>
  <c r="K61" i="4"/>
  <c r="K238" i="4"/>
  <c r="K202" i="4"/>
  <c r="K86" i="4"/>
  <c r="K227" i="4"/>
  <c r="K147" i="4"/>
  <c r="K67" i="4"/>
  <c r="K280" i="4"/>
  <c r="K262" i="4"/>
  <c r="K244" i="4"/>
  <c r="K226" i="4"/>
  <c r="K218" i="4"/>
  <c r="K200" i="4"/>
  <c r="K182" i="4"/>
  <c r="K146" i="4"/>
  <c r="K138" i="4"/>
  <c r="K120" i="4"/>
  <c r="K102" i="4"/>
  <c r="K84" i="4"/>
  <c r="K66" i="4"/>
  <c r="K58" i="4"/>
  <c r="K261" i="4"/>
  <c r="K207" i="4"/>
  <c r="K181" i="4"/>
  <c r="K145" i="4"/>
  <c r="K119" i="4"/>
  <c r="K101" i="4"/>
  <c r="K65" i="4"/>
  <c r="K126" i="4"/>
  <c r="K64" i="4"/>
  <c r="K63" i="4"/>
  <c r="K201" i="4"/>
  <c r="K59" i="4"/>
  <c r="B1" i="15"/>
  <c r="AA14" i="4"/>
  <c r="AD30" i="4"/>
  <c r="AD34" i="4"/>
  <c r="AD33" i="4"/>
  <c r="AD32" i="4"/>
  <c r="AD31" i="4"/>
  <c r="AD269" i="4"/>
  <c r="AD29" i="4"/>
  <c r="O13" i="2"/>
  <c r="N27" i="2"/>
  <c r="D1" i="10"/>
  <c r="G88" i="3"/>
  <c r="P88" i="3" s="1"/>
  <c r="E88" i="3"/>
  <c r="N88" i="3"/>
  <c r="C88" i="3"/>
  <c r="L88" i="3"/>
  <c r="I1" i="4"/>
  <c r="E64" i="3"/>
  <c r="N63" i="3"/>
  <c r="L63" i="3"/>
  <c r="C64" i="3"/>
  <c r="L64" i="3"/>
  <c r="G64" i="3"/>
  <c r="P64" i="3"/>
  <c r="P63" i="3"/>
  <c r="AE14" i="4"/>
  <c r="Q247" i="4"/>
  <c r="Q246" i="4"/>
  <c r="Q245" i="4"/>
  <c r="Q244" i="4"/>
  <c r="Q243" i="4"/>
  <c r="Q242" i="4"/>
  <c r="Q241" i="4"/>
  <c r="Q240" i="4"/>
  <c r="Q239" i="4"/>
  <c r="Q238" i="4"/>
  <c r="Q227" i="4"/>
  <c r="Q226" i="4"/>
  <c r="Q225" i="4"/>
  <c r="Q224" i="4"/>
  <c r="Q223" i="4"/>
  <c r="Q222" i="4"/>
  <c r="Q221" i="4"/>
  <c r="Q220" i="4"/>
  <c r="Q219" i="4"/>
  <c r="Q218" i="4"/>
  <c r="Q207" i="4"/>
  <c r="Q206" i="4"/>
  <c r="Q205" i="4"/>
  <c r="Q204" i="4"/>
  <c r="Q203" i="4"/>
  <c r="Q202" i="4"/>
  <c r="Q201" i="4"/>
  <c r="Q200" i="4"/>
  <c r="Q199" i="4"/>
  <c r="Q198" i="4"/>
  <c r="Q187" i="4"/>
  <c r="Q186" i="4"/>
  <c r="Q185" i="4"/>
  <c r="Q184" i="4"/>
  <c r="Q183" i="4"/>
  <c r="Q182" i="4"/>
  <c r="Q181" i="4"/>
  <c r="Q180" i="4"/>
  <c r="Q179" i="4"/>
  <c r="Q178" i="4"/>
  <c r="Q147" i="4"/>
  <c r="Q146" i="4"/>
  <c r="Q145" i="4"/>
  <c r="Q144" i="4"/>
  <c r="Q143" i="4"/>
  <c r="Q142" i="4"/>
  <c r="Q141" i="4"/>
  <c r="Q140" i="4"/>
  <c r="Q139" i="4"/>
  <c r="Q138" i="4"/>
  <c r="Q127" i="4"/>
  <c r="Q126" i="4"/>
  <c r="Q125" i="4"/>
  <c r="Q124" i="4"/>
  <c r="Q123" i="4"/>
  <c r="Q122" i="4"/>
  <c r="Q121" i="4"/>
  <c r="Q120" i="4"/>
  <c r="Q119" i="4"/>
  <c r="Q118" i="4"/>
  <c r="Q107" i="4"/>
  <c r="Q106" i="4"/>
  <c r="Q105" i="4"/>
  <c r="Q104" i="4"/>
  <c r="Q103" i="4"/>
  <c r="Q102" i="4"/>
  <c r="Q101" i="4"/>
  <c r="Q100" i="4"/>
  <c r="Q99" i="4"/>
  <c r="Q98" i="4"/>
  <c r="Q87" i="4"/>
  <c r="Q86" i="4"/>
  <c r="Q85" i="4"/>
  <c r="Q84" i="4"/>
  <c r="Q83" i="4"/>
  <c r="Q82" i="4"/>
  <c r="Q81" i="4"/>
  <c r="Q80" i="4"/>
  <c r="Q79" i="4"/>
  <c r="Q78" i="4"/>
  <c r="I247" i="4"/>
  <c r="I246" i="4"/>
  <c r="I245" i="4"/>
  <c r="I244" i="4"/>
  <c r="I243" i="4"/>
  <c r="I242" i="4"/>
  <c r="I241" i="4"/>
  <c r="I240" i="4"/>
  <c r="I239" i="4"/>
  <c r="I238" i="4"/>
  <c r="I227" i="4"/>
  <c r="I226" i="4"/>
  <c r="I225" i="4"/>
  <c r="I224" i="4"/>
  <c r="I223" i="4"/>
  <c r="I222" i="4"/>
  <c r="I221" i="4"/>
  <c r="I220" i="4"/>
  <c r="I219" i="4"/>
  <c r="I218" i="4"/>
  <c r="I207" i="4"/>
  <c r="I206" i="4"/>
  <c r="I205" i="4"/>
  <c r="I204" i="4"/>
  <c r="I203" i="4"/>
  <c r="I202" i="4"/>
  <c r="I201" i="4"/>
  <c r="I200" i="4"/>
  <c r="I199" i="4"/>
  <c r="I198" i="4"/>
  <c r="I187" i="4"/>
  <c r="I186" i="4"/>
  <c r="I185" i="4"/>
  <c r="I184" i="4"/>
  <c r="I183" i="4"/>
  <c r="I182" i="4"/>
  <c r="I181" i="4"/>
  <c r="I180" i="4"/>
  <c r="I179" i="4"/>
  <c r="I178" i="4"/>
  <c r="I147" i="4"/>
  <c r="I146" i="4"/>
  <c r="I145" i="4"/>
  <c r="I144" i="4"/>
  <c r="I143" i="4"/>
  <c r="I142" i="4"/>
  <c r="I141" i="4"/>
  <c r="I140" i="4"/>
  <c r="I139" i="4"/>
  <c r="I138" i="4"/>
  <c r="I127" i="4"/>
  <c r="I126" i="4"/>
  <c r="I125" i="4"/>
  <c r="I124" i="4"/>
  <c r="I123" i="4"/>
  <c r="I122" i="4"/>
  <c r="I121" i="4"/>
  <c r="I120" i="4"/>
  <c r="I119" i="4"/>
  <c r="I118" i="4"/>
  <c r="I107" i="4"/>
  <c r="I106" i="4"/>
  <c r="I105" i="4"/>
  <c r="I104" i="4"/>
  <c r="I103" i="4"/>
  <c r="I102" i="4"/>
  <c r="I101" i="4"/>
  <c r="I100" i="4"/>
  <c r="I99" i="4"/>
  <c r="I98" i="4"/>
  <c r="I87" i="4"/>
  <c r="I86" i="4"/>
  <c r="I85" i="4"/>
  <c r="I84" i="4"/>
  <c r="I83" i="4"/>
  <c r="I82" i="4"/>
  <c r="I81" i="4"/>
  <c r="I80" i="4"/>
  <c r="I79" i="4"/>
  <c r="I78" i="4"/>
  <c r="I67" i="4"/>
  <c r="I66" i="4"/>
  <c r="I65" i="4"/>
  <c r="I64" i="4"/>
  <c r="I63" i="4"/>
  <c r="I62" i="4"/>
  <c r="I61" i="4"/>
  <c r="I60" i="4"/>
  <c r="I59" i="4"/>
  <c r="I58" i="4"/>
  <c r="Q67" i="4"/>
  <c r="Q66" i="4"/>
  <c r="Q65" i="4"/>
  <c r="Q64" i="4"/>
  <c r="Q63" i="4"/>
  <c r="Q62" i="4"/>
  <c r="Q61" i="4"/>
  <c r="Q60" i="4"/>
  <c r="Q59" i="4"/>
  <c r="Q58" i="4"/>
  <c r="H21" i="9"/>
  <c r="H19" i="9"/>
  <c r="AD198" i="4"/>
  <c r="AD178" i="4"/>
  <c r="AD158" i="4"/>
  <c r="AD18" i="4" s="1"/>
  <c r="B8" i="4"/>
  <c r="AG263" i="4"/>
  <c r="AG267" i="4"/>
  <c r="AG266" i="4"/>
  <c r="AG265" i="4"/>
  <c r="AG264" i="4"/>
  <c r="AJ267" i="4"/>
  <c r="AJ266" i="4"/>
  <c r="AJ265" i="4"/>
  <c r="AJ264" i="4"/>
  <c r="AJ263" i="4"/>
  <c r="AI267" i="4"/>
  <c r="S267" i="4"/>
  <c r="AI266" i="4"/>
  <c r="S266" i="4" s="1"/>
  <c r="AI265" i="4"/>
  <c r="S265" i="4"/>
  <c r="AI264" i="4"/>
  <c r="S264" i="4" s="1"/>
  <c r="AI263" i="4"/>
  <c r="S263" i="4"/>
  <c r="AF267" i="4"/>
  <c r="K267" i="4" s="1"/>
  <c r="AF266" i="4"/>
  <c r="K266" i="4"/>
  <c r="AF265" i="4"/>
  <c r="K265" i="4" s="1"/>
  <c r="AF264" i="4"/>
  <c r="AF263" i="4"/>
  <c r="K263" i="4" s="1"/>
  <c r="K264" i="4"/>
  <c r="N274" i="4"/>
  <c r="N273" i="4"/>
  <c r="N270" i="4"/>
  <c r="N269" i="4"/>
  <c r="N268" i="4"/>
  <c r="N271" i="4"/>
  <c r="N272" i="4"/>
  <c r="R267" i="4"/>
  <c r="P267" i="4"/>
  <c r="O267" i="4"/>
  <c r="N267" i="4"/>
  <c r="R266" i="4"/>
  <c r="P266" i="4"/>
  <c r="O266" i="4"/>
  <c r="N266" i="4"/>
  <c r="R265" i="4"/>
  <c r="P265" i="4"/>
  <c r="O265" i="4"/>
  <c r="N265" i="4"/>
  <c r="R264" i="4"/>
  <c r="P264" i="4"/>
  <c r="O264" i="4"/>
  <c r="N264" i="4"/>
  <c r="R263" i="4"/>
  <c r="P263" i="4"/>
  <c r="O263" i="4"/>
  <c r="N263" i="4"/>
  <c r="J267" i="4"/>
  <c r="H267" i="4"/>
  <c r="G267" i="4"/>
  <c r="F267" i="4"/>
  <c r="J266" i="4"/>
  <c r="H266" i="4"/>
  <c r="G266" i="4"/>
  <c r="F266" i="4"/>
  <c r="J265" i="4"/>
  <c r="H265" i="4"/>
  <c r="G265" i="4"/>
  <c r="F265" i="4"/>
  <c r="J264" i="4"/>
  <c r="H264" i="4"/>
  <c r="G264" i="4"/>
  <c r="F264" i="4"/>
  <c r="J263" i="4"/>
  <c r="H263" i="4"/>
  <c r="G263" i="4"/>
  <c r="F263" i="4"/>
  <c r="H18" i="9"/>
  <c r="AL57" i="8"/>
  <c r="AK57" i="8"/>
  <c r="AJ57" i="8"/>
  <c r="AI57" i="8"/>
  <c r="AH57" i="8"/>
  <c r="AG57" i="8"/>
  <c r="AF57" i="8"/>
  <c r="AE57" i="8"/>
  <c r="AD57" i="8"/>
  <c r="AC57" i="8"/>
  <c r="AB57" i="8"/>
  <c r="AA57" i="8"/>
  <c r="Z57" i="8"/>
  <c r="Y57" i="8"/>
  <c r="X57" i="8"/>
  <c r="W57" i="8"/>
  <c r="V57" i="8"/>
  <c r="U57" i="8"/>
  <c r="T57" i="8"/>
  <c r="S57" i="8"/>
  <c r="R57" i="8"/>
  <c r="Q57" i="8"/>
  <c r="P57" i="8"/>
  <c r="O57" i="8"/>
  <c r="N57" i="8"/>
  <c r="M57" i="8"/>
  <c r="L57" i="8"/>
  <c r="K57" i="8"/>
  <c r="J57" i="8"/>
  <c r="I57" i="8"/>
  <c r="H57" i="8"/>
  <c r="G57" i="8"/>
  <c r="F57" i="8"/>
  <c r="E57" i="8"/>
  <c r="D57" i="8"/>
  <c r="AA56" i="8"/>
  <c r="Z56" i="8"/>
  <c r="Y56" i="8"/>
  <c r="X56" i="8"/>
  <c r="W56" i="8"/>
  <c r="V56" i="8"/>
  <c r="U56" i="8"/>
  <c r="T56" i="8"/>
  <c r="S56" i="8"/>
  <c r="R56" i="8"/>
  <c r="Q56" i="8"/>
  <c r="P56" i="8"/>
  <c r="O56" i="8"/>
  <c r="N56" i="8"/>
  <c r="M56" i="8"/>
  <c r="L56" i="8"/>
  <c r="K56" i="8"/>
  <c r="J56" i="8"/>
  <c r="I56" i="8"/>
  <c r="H56" i="8"/>
  <c r="G56" i="8"/>
  <c r="F56" i="8"/>
  <c r="E56" i="8"/>
  <c r="D56" i="8"/>
  <c r="AG55" i="8"/>
  <c r="AF55" i="8"/>
  <c r="AE55" i="8"/>
  <c r="AD55" i="8"/>
  <c r="AC55" i="8"/>
  <c r="AB55" i="8"/>
  <c r="AA55" i="8"/>
  <c r="Z55" i="8"/>
  <c r="Y55" i="8"/>
  <c r="X55" i="8"/>
  <c r="W55" i="8"/>
  <c r="V55" i="8"/>
  <c r="U55" i="8"/>
  <c r="T55" i="8"/>
  <c r="S55" i="8"/>
  <c r="R55" i="8"/>
  <c r="Q55" i="8"/>
  <c r="P55" i="8"/>
  <c r="O55" i="8"/>
  <c r="N55" i="8"/>
  <c r="M55" i="8"/>
  <c r="L55" i="8"/>
  <c r="K55" i="8"/>
  <c r="J55" i="8"/>
  <c r="I55" i="8"/>
  <c r="H55" i="8"/>
  <c r="G55" i="8"/>
  <c r="F55" i="8"/>
  <c r="E55" i="8"/>
  <c r="D55"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D54" i="8"/>
  <c r="C57" i="8"/>
  <c r="C56" i="8"/>
  <c r="C55" i="8"/>
  <c r="C54" i="8"/>
  <c r="AF7" i="5"/>
  <c r="AE7" i="5"/>
  <c r="AD7" i="5"/>
  <c r="AC7" i="5"/>
  <c r="AB7" i="5"/>
  <c r="AA7" i="5"/>
  <c r="Z7" i="5"/>
  <c r="Y7" i="5"/>
  <c r="X7" i="5"/>
  <c r="W7" i="5"/>
  <c r="V7" i="5"/>
  <c r="U7" i="5"/>
  <c r="T7" i="5"/>
  <c r="S7" i="5"/>
  <c r="R7" i="5"/>
  <c r="B9" i="5"/>
  <c r="K72" i="3"/>
  <c r="N77" i="3"/>
  <c r="O77" i="3"/>
  <c r="F66" i="3"/>
  <c r="O66" i="3"/>
  <c r="D66" i="3"/>
  <c r="M66" i="3" s="1"/>
  <c r="M77" i="3"/>
  <c r="P77" i="3"/>
  <c r="L77" i="3"/>
  <c r="B66" i="3"/>
  <c r="K77" i="3"/>
  <c r="G66" i="3"/>
  <c r="P66" i="3" s="1"/>
  <c r="E66" i="3"/>
  <c r="N66" i="3"/>
  <c r="Q77" i="3"/>
  <c r="H66" i="3"/>
  <c r="Q66" i="3"/>
  <c r="C66" i="3"/>
  <c r="L66" i="3" s="1"/>
  <c r="K66" i="3"/>
  <c r="AD62" i="4" l="1"/>
  <c r="AD206" i="4"/>
  <c r="AF38" i="2"/>
  <c r="AF60" i="2" s="1"/>
  <c r="AF71" i="2" s="1"/>
  <c r="AD282" i="4"/>
  <c r="AC39" i="2"/>
  <c r="AC61" i="2" s="1"/>
  <c r="AC72" i="2" s="1"/>
  <c r="AD60" i="4"/>
  <c r="AD103" i="4"/>
  <c r="AD81" i="4"/>
  <c r="AD101" i="4"/>
  <c r="T57" i="2"/>
  <c r="T68" i="2" s="1"/>
  <c r="T40" i="2"/>
  <c r="K27" i="4"/>
  <c r="H31" i="4"/>
  <c r="AD186" i="4"/>
  <c r="AD83" i="4"/>
  <c r="Y57" i="2"/>
  <c r="Y68" i="2" s="1"/>
  <c r="R41" i="2"/>
  <c r="R63" i="2" s="1"/>
  <c r="R74" i="2" s="1"/>
  <c r="K32" i="4"/>
  <c r="AD67" i="4"/>
  <c r="AD183" i="4"/>
  <c r="AD138" i="4"/>
  <c r="AD159" i="4"/>
  <c r="AD19" i="4" s="1"/>
  <c r="AD187" i="4"/>
  <c r="AD207" i="4"/>
  <c r="AD146" i="4"/>
  <c r="AD167" i="4"/>
  <c r="AD27" i="4" s="1"/>
  <c r="AD205" i="4"/>
  <c r="AD225" i="4"/>
  <c r="AD274" i="4"/>
  <c r="AD36" i="2"/>
  <c r="AD58" i="2" s="1"/>
  <c r="AD69" i="2" s="1"/>
  <c r="T42" i="2"/>
  <c r="T64" i="2" s="1"/>
  <c r="T75" i="2" s="1"/>
  <c r="J1" i="7"/>
  <c r="AD262" i="4"/>
  <c r="AD283" i="4"/>
  <c r="AD245" i="4"/>
  <c r="N2" i="2"/>
  <c r="V37" i="2"/>
  <c r="V59" i="2" s="1"/>
  <c r="V70" i="2" s="1"/>
  <c r="AC42" i="2"/>
  <c r="AC64" i="2" s="1"/>
  <c r="AC75" i="2" s="1"/>
  <c r="W80" i="2"/>
  <c r="J1" i="15"/>
  <c r="AD166" i="4"/>
  <c r="AD26" i="4" s="1"/>
  <c r="AD165" i="4"/>
  <c r="AD25" i="4" s="1"/>
  <c r="AD85" i="4"/>
  <c r="AD82" i="4"/>
  <c r="AC37" i="2"/>
  <c r="AC59" i="2" s="1"/>
  <c r="AC70" i="2" s="1"/>
  <c r="C16" i="16"/>
  <c r="X80" i="2"/>
  <c r="N13" i="2"/>
  <c r="B3" i="13"/>
  <c r="N26" i="2"/>
  <c r="B3" i="14"/>
  <c r="H7" i="5"/>
  <c r="D1" i="7"/>
  <c r="C25" i="7" s="1"/>
  <c r="F33" i="4"/>
  <c r="N28" i="2"/>
  <c r="D7" i="5"/>
  <c r="N25" i="2"/>
  <c r="W36" i="2"/>
  <c r="W58" i="2" s="1"/>
  <c r="W69" i="2" s="1"/>
  <c r="W117" i="2" s="1"/>
  <c r="D1" i="15"/>
  <c r="B16" i="15"/>
  <c r="B15" i="15" s="1"/>
  <c r="N30" i="2"/>
  <c r="J9" i="7"/>
  <c r="J14" i="7"/>
  <c r="AF49" i="2"/>
  <c r="AC50" i="2"/>
  <c r="U57" i="2"/>
  <c r="U68" i="2" s="1"/>
  <c r="Z57" i="2"/>
  <c r="Z68" i="2" s="1"/>
  <c r="AF57" i="2"/>
  <c r="AF68" i="2" s="1"/>
  <c r="X36" i="2"/>
  <c r="AE36" i="2"/>
  <c r="AE58" i="2" s="1"/>
  <c r="AE69" i="2" s="1"/>
  <c r="W37" i="2"/>
  <c r="U38" i="2"/>
  <c r="U60" i="2" s="1"/>
  <c r="U71" i="2" s="1"/>
  <c r="AA38" i="2"/>
  <c r="R39" i="2"/>
  <c r="X39" i="2"/>
  <c r="AD39" i="2"/>
  <c r="AA40" i="2"/>
  <c r="S41" i="2"/>
  <c r="S52" i="2" s="1"/>
  <c r="Z41" i="2"/>
  <c r="U42" i="2"/>
  <c r="AE42" i="2"/>
  <c r="V80" i="2"/>
  <c r="AD307" i="4"/>
  <c r="I23" i="4"/>
  <c r="J24" i="4"/>
  <c r="F26" i="4"/>
  <c r="H27" i="4"/>
  <c r="G28" i="4"/>
  <c r="J29" i="4"/>
  <c r="I31" i="4"/>
  <c r="J33" i="4"/>
  <c r="AA57" i="2"/>
  <c r="AA68" i="2" s="1"/>
  <c r="R36" i="2"/>
  <c r="Y36" i="2"/>
  <c r="Y58" i="2" s="1"/>
  <c r="Y69" i="2" s="1"/>
  <c r="AF36" i="2"/>
  <c r="AF58" i="2" s="1"/>
  <c r="X37" i="2"/>
  <c r="X59" i="2" s="1"/>
  <c r="X70" i="2" s="1"/>
  <c r="AD37" i="2"/>
  <c r="V38" i="2"/>
  <c r="AB38" i="2"/>
  <c r="AB60" i="2" s="1"/>
  <c r="AB71" i="2" s="1"/>
  <c r="S39" i="2"/>
  <c r="S61" i="2" s="1"/>
  <c r="U40" i="2"/>
  <c r="AB40" i="2"/>
  <c r="T41" i="2"/>
  <c r="AB41" i="2"/>
  <c r="AB63" i="2" s="1"/>
  <c r="AB74" i="2" s="1"/>
  <c r="V42" i="2"/>
  <c r="V64" i="2" s="1"/>
  <c r="AF42" i="2"/>
  <c r="AF64" i="2" s="1"/>
  <c r="AF75" i="2" s="1"/>
  <c r="Z43" i="2"/>
  <c r="M1" i="15"/>
  <c r="T80" i="2"/>
  <c r="T116" i="2" s="1"/>
  <c r="K24" i="4"/>
  <c r="G26" i="4"/>
  <c r="I27" i="4"/>
  <c r="H28" i="4"/>
  <c r="F30" i="4"/>
  <c r="J31" i="4"/>
  <c r="F34" i="4"/>
  <c r="V57" i="2"/>
  <c r="V68" i="2" s="1"/>
  <c r="S36" i="2"/>
  <c r="Z36" i="2"/>
  <c r="Z58" i="2" s="1"/>
  <c r="Z69" i="2" s="1"/>
  <c r="R37" i="2"/>
  <c r="Y37" i="2"/>
  <c r="W38" i="2"/>
  <c r="W60" i="2" s="1"/>
  <c r="W71" i="2" s="1"/>
  <c r="W119" i="2" s="1"/>
  <c r="AC38" i="2"/>
  <c r="Y39" i="2"/>
  <c r="AE39" i="2"/>
  <c r="AE61" i="2" s="1"/>
  <c r="AE72" i="2" s="1"/>
  <c r="V40" i="2"/>
  <c r="AC40" i="2"/>
  <c r="U41" i="2"/>
  <c r="U63" i="2" s="1"/>
  <c r="AC41" i="2"/>
  <c r="W42" i="2"/>
  <c r="W64" i="2" s="1"/>
  <c r="W75" i="2" s="1"/>
  <c r="W123" i="2" s="1"/>
  <c r="AA43" i="2"/>
  <c r="AA65" i="2" s="1"/>
  <c r="AA76" i="2" s="1"/>
  <c r="S80" i="2"/>
  <c r="I28" i="4"/>
  <c r="G30" i="4"/>
  <c r="G32" i="4"/>
  <c r="G34" i="4"/>
  <c r="R52" i="2"/>
  <c r="T53" i="2"/>
  <c r="AB57" i="2"/>
  <c r="AB68" i="2" s="1"/>
  <c r="AB116" i="2" s="1"/>
  <c r="T36" i="2"/>
  <c r="T58" i="2" s="1"/>
  <c r="T69" i="2" s="1"/>
  <c r="T117" i="2" s="1"/>
  <c r="AA36" i="2"/>
  <c r="S37" i="2"/>
  <c r="AE37" i="2"/>
  <c r="T39" i="2"/>
  <c r="Z39" i="2"/>
  <c r="AF39" i="2"/>
  <c r="AF50" i="2" s="1"/>
  <c r="W40" i="2"/>
  <c r="AD40" i="2"/>
  <c r="V41" i="2"/>
  <c r="AD41" i="2"/>
  <c r="AD52" i="2" s="1"/>
  <c r="X42" i="2"/>
  <c r="X64" i="2" s="1"/>
  <c r="X75" i="2" s="1"/>
  <c r="X123" i="2" s="1"/>
  <c r="S43" i="2"/>
  <c r="AC43" i="2"/>
  <c r="AE80" i="2"/>
  <c r="J28" i="4"/>
  <c r="H30" i="4"/>
  <c r="H32" i="4"/>
  <c r="H34" i="4"/>
  <c r="W47" i="2"/>
  <c r="V48" i="2"/>
  <c r="R57" i="2"/>
  <c r="R68" i="2" s="1"/>
  <c r="W57" i="2"/>
  <c r="W68" i="2" s="1"/>
  <c r="W116" i="2" s="1"/>
  <c r="AC57" i="2"/>
  <c r="AC68" i="2" s="1"/>
  <c r="AB36" i="2"/>
  <c r="T37" i="2"/>
  <c r="Z37" i="2"/>
  <c r="AF37" i="2"/>
  <c r="X38" i="2"/>
  <c r="AD38" i="2"/>
  <c r="U39" i="2"/>
  <c r="U61" i="2" s="1"/>
  <c r="U72" i="2" s="1"/>
  <c r="AA39" i="2"/>
  <c r="AA61" i="2" s="1"/>
  <c r="X40" i="2"/>
  <c r="X62" i="2" s="1"/>
  <c r="X73" i="2" s="1"/>
  <c r="AE40" i="2"/>
  <c r="W41" i="2"/>
  <c r="AE41" i="2"/>
  <c r="AE63" i="2" s="1"/>
  <c r="AE74" i="2" s="1"/>
  <c r="T43" i="2"/>
  <c r="AD43" i="2"/>
  <c r="AD80" i="2"/>
  <c r="AD117" i="2" s="1"/>
  <c r="F24" i="4"/>
  <c r="H25" i="4"/>
  <c r="J26" i="4"/>
  <c r="J27" i="4"/>
  <c r="K28" i="4"/>
  <c r="J30" i="4"/>
  <c r="J32" i="4"/>
  <c r="K34" i="4"/>
  <c r="S57" i="2"/>
  <c r="S68" i="2" s="1"/>
  <c r="S116" i="2" s="1"/>
  <c r="AD57" i="2"/>
  <c r="AD68" i="2" s="1"/>
  <c r="U36" i="2"/>
  <c r="U37" i="2"/>
  <c r="AA37" i="2"/>
  <c r="AA59" i="2" s="1"/>
  <c r="AA70" i="2" s="1"/>
  <c r="R38" i="2"/>
  <c r="R49" i="2" s="1"/>
  <c r="Y38" i="2"/>
  <c r="Y60" i="2" s="1"/>
  <c r="Y71" i="2" s="1"/>
  <c r="AE38" i="2"/>
  <c r="AE60" i="2" s="1"/>
  <c r="AE71" i="2" s="1"/>
  <c r="AE119" i="2" s="1"/>
  <c r="V39" i="2"/>
  <c r="V61" i="2" s="1"/>
  <c r="V72" i="2" s="1"/>
  <c r="R40" i="2"/>
  <c r="AF40" i="2"/>
  <c r="AF62" i="2" s="1"/>
  <c r="AF73" i="2" s="1"/>
  <c r="X41" i="2"/>
  <c r="AF41" i="2"/>
  <c r="Z42" i="2"/>
  <c r="AF43" i="2"/>
  <c r="AF65" i="2" s="1"/>
  <c r="AF76" i="2" s="1"/>
  <c r="AB80" i="2"/>
  <c r="C25" i="16"/>
  <c r="X57" i="2"/>
  <c r="X68" i="2" s="1"/>
  <c r="X116" i="2" s="1"/>
  <c r="AE57" i="2"/>
  <c r="AE68" i="2" s="1"/>
  <c r="V36" i="2"/>
  <c r="V58" i="2" s="1"/>
  <c r="V69" i="2" s="1"/>
  <c r="AC36" i="2"/>
  <c r="AB37" i="2"/>
  <c r="AB59" i="2" s="1"/>
  <c r="AB70" i="2" s="1"/>
  <c r="AB118" i="2" s="1"/>
  <c r="S38" i="2"/>
  <c r="Z38" i="2"/>
  <c r="Z60" i="2" s="1"/>
  <c r="W39" i="2"/>
  <c r="AB39" i="2"/>
  <c r="S40" i="2"/>
  <c r="Y40" i="2"/>
  <c r="Y41" i="2"/>
  <c r="R42" i="2"/>
  <c r="R64" i="2" s="1"/>
  <c r="R75" i="2" s="1"/>
  <c r="AB42" i="2"/>
  <c r="AB64" i="2" s="1"/>
  <c r="AB75" i="2" s="1"/>
  <c r="U43" i="2"/>
  <c r="AA80" i="2"/>
  <c r="X121" i="2"/>
  <c r="X118" i="2"/>
  <c r="AE122" i="2"/>
  <c r="AD64" i="4"/>
  <c r="AD61" i="4"/>
  <c r="AD164" i="4"/>
  <c r="AD24" i="4" s="1"/>
  <c r="AD281" i="4"/>
  <c r="AD184" i="4"/>
  <c r="AD201" i="4"/>
  <c r="AD185" i="4"/>
  <c r="AD219" i="4"/>
  <c r="AD204" i="4"/>
  <c r="AD99" i="4"/>
  <c r="AD223" i="4"/>
  <c r="AD100" i="4"/>
  <c r="AD224" i="4"/>
  <c r="AD119" i="4"/>
  <c r="AD243" i="4"/>
  <c r="AD47" i="2"/>
  <c r="X48" i="2"/>
  <c r="T49" i="2"/>
  <c r="AE49" i="2"/>
  <c r="AC53" i="2"/>
  <c r="AD63" i="2"/>
  <c r="AD74" i="2" s="1"/>
  <c r="S42" i="2"/>
  <c r="Y42" i="2"/>
  <c r="Y64" i="2" s="1"/>
  <c r="AD42" i="2"/>
  <c r="AD64" i="2" s="1"/>
  <c r="X43" i="2"/>
  <c r="AB43" i="2"/>
  <c r="AC80" i="2"/>
  <c r="AC123" i="2" s="1"/>
  <c r="U80" i="2"/>
  <c r="G29" i="4"/>
  <c r="I30" i="4"/>
  <c r="K31" i="4"/>
  <c r="G33" i="4"/>
  <c r="I34" i="4"/>
  <c r="AD65" i="4"/>
  <c r="AD121" i="4"/>
  <c r="AD182" i="4"/>
  <c r="AD78" i="4"/>
  <c r="AD202" i="4"/>
  <c r="AD79" i="4"/>
  <c r="AD203" i="4"/>
  <c r="AD80" i="4"/>
  <c r="AD222" i="4"/>
  <c r="AD107" i="4"/>
  <c r="AD241" i="4"/>
  <c r="AD118" i="4"/>
  <c r="AD242" i="4"/>
  <c r="AD127" i="4"/>
  <c r="AD261" i="4"/>
  <c r="AD271" i="4"/>
  <c r="AD270" i="4"/>
  <c r="V47" i="2"/>
  <c r="AE47" i="2"/>
  <c r="S63" i="2"/>
  <c r="S74" i="2" s="1"/>
  <c r="S122" i="2" s="1"/>
  <c r="AD298" i="4"/>
  <c r="H19" i="2"/>
  <c r="Y7" i="4" s="1"/>
  <c r="F32" i="4"/>
  <c r="H33" i="4"/>
  <c r="J34" i="4"/>
  <c r="AD58" i="4"/>
  <c r="AD227" i="4"/>
  <c r="AD200" i="4"/>
  <c r="AD86" i="4"/>
  <c r="AD220" i="4"/>
  <c r="AD87" i="4"/>
  <c r="AD221" i="4"/>
  <c r="AD98" i="4"/>
  <c r="AD240" i="4"/>
  <c r="AD125" i="4"/>
  <c r="AD259" i="4"/>
  <c r="AD126" i="4"/>
  <c r="AD278" i="4"/>
  <c r="AD145" i="4"/>
  <c r="AD279" i="4"/>
  <c r="AF51" i="2"/>
  <c r="AD299" i="4"/>
  <c r="AD66" i="4"/>
  <c r="AD84" i="4"/>
  <c r="AD218" i="4"/>
  <c r="AD104" i="4"/>
  <c r="AD238" i="4"/>
  <c r="AD105" i="4"/>
  <c r="AD239" i="4"/>
  <c r="AD106" i="4"/>
  <c r="AD258" i="4"/>
  <c r="AD143" i="4"/>
  <c r="AD267" i="4"/>
  <c r="AD144" i="4"/>
  <c r="AD286" i="4"/>
  <c r="AD163" i="4"/>
  <c r="AD23" i="4" s="1"/>
  <c r="AD287" i="4"/>
  <c r="AD272" i="4"/>
  <c r="Y47" i="2"/>
  <c r="AC48" i="2"/>
  <c r="X51" i="2"/>
  <c r="Z80" i="2"/>
  <c r="R80" i="2"/>
  <c r="R122" i="2" s="1"/>
  <c r="AD300" i="4"/>
  <c r="T47" i="2"/>
  <c r="AD102" i="4"/>
  <c r="AD226" i="4"/>
  <c r="AD122" i="4"/>
  <c r="AD123" i="4"/>
  <c r="AD247" i="4"/>
  <c r="AD124" i="4"/>
  <c r="AD266" i="4"/>
  <c r="AD161" i="4"/>
  <c r="AD21" i="4" s="1"/>
  <c r="AD285" i="4"/>
  <c r="AD162" i="4"/>
  <c r="AD22" i="4" s="1"/>
  <c r="AD147" i="4"/>
  <c r="AD181" i="4"/>
  <c r="Z47" i="2"/>
  <c r="Y49" i="2"/>
  <c r="U50" i="2"/>
  <c r="AE50" i="2"/>
  <c r="AB52" i="2"/>
  <c r="AF54" i="2"/>
  <c r="R43" i="2"/>
  <c r="R54" i="2" s="1"/>
  <c r="V43" i="2"/>
  <c r="AE43" i="2"/>
  <c r="AE54" i="2" s="1"/>
  <c r="M1" i="7"/>
  <c r="Y80" i="2"/>
  <c r="Y117" i="2" s="1"/>
  <c r="AD303" i="4"/>
  <c r="AD160" i="4"/>
  <c r="AD20" i="4" s="1"/>
  <c r="K29" i="4"/>
  <c r="G31" i="4"/>
  <c r="I32" i="4"/>
  <c r="K33" i="4"/>
  <c r="B4" i="5"/>
  <c r="AD63" i="4"/>
  <c r="AD246" i="4"/>
  <c r="AD59" i="4"/>
  <c r="AD120" i="4"/>
  <c r="AD244" i="4"/>
  <c r="AD140" i="4"/>
  <c r="AD264" i="4"/>
  <c r="AD141" i="4"/>
  <c r="AD265" i="4"/>
  <c r="AD142" i="4"/>
  <c r="AD284" i="4"/>
  <c r="AD179" i="4"/>
  <c r="AD139" i="4"/>
  <c r="AD180" i="4"/>
  <c r="AD263" i="4"/>
  <c r="AD199" i="4"/>
  <c r="AD273" i="4"/>
  <c r="Z51" i="2"/>
  <c r="AA41" i="2"/>
  <c r="AA42" i="2"/>
  <c r="W43" i="2"/>
  <c r="W54" i="2" s="1"/>
  <c r="N7" i="5"/>
  <c r="AF80" i="2"/>
  <c r="AF124" i="2" s="1"/>
  <c r="AD306" i="4"/>
  <c r="AJ87" i="15"/>
  <c r="AK87" i="15"/>
  <c r="U52" i="2"/>
  <c r="N64" i="3"/>
  <c r="AF47" i="2"/>
  <c r="Z49" i="2"/>
  <c r="AA50" i="2"/>
  <c r="Y65" i="2"/>
  <c r="Y54" i="2"/>
  <c r="AJ73" i="15"/>
  <c r="AI73" i="15"/>
  <c r="AI88" i="15" s="1"/>
  <c r="AH73" i="15"/>
  <c r="AH88" i="15" s="1"/>
  <c r="AK89" i="15"/>
  <c r="X58" i="2"/>
  <c r="X47" i="2"/>
  <c r="AB62" i="2"/>
  <c r="AB51" i="2"/>
  <c r="AK90" i="15"/>
  <c r="AJ85" i="15"/>
  <c r="Y59" i="2"/>
  <c r="Y48" i="2"/>
  <c r="AC63" i="2"/>
  <c r="AC52" i="2"/>
  <c r="T62" i="2"/>
  <c r="T51" i="2"/>
  <c r="AG72" i="15"/>
  <c r="AH74" i="15"/>
  <c r="AH70" i="15"/>
  <c r="B27" i="13"/>
  <c r="B27" i="14"/>
  <c r="AB49" i="2"/>
  <c r="AF53" i="2"/>
  <c r="AE65" i="2"/>
  <c r="AG70" i="15"/>
  <c r="AK70" i="15"/>
  <c r="AK85" i="15" s="1"/>
  <c r="AA48" i="2"/>
  <c r="U49" i="2"/>
  <c r="E7" i="5"/>
  <c r="I7" i="5"/>
  <c r="O7" i="5"/>
  <c r="C7" i="5"/>
  <c r="F7" i="5"/>
  <c r="J7" i="5"/>
  <c r="P7" i="5"/>
  <c r="G7" i="5"/>
  <c r="K7" i="5"/>
  <c r="M7" i="5"/>
  <c r="Q7" i="5"/>
  <c r="J13" i="7"/>
  <c r="J11" i="7"/>
  <c r="J10" i="7"/>
  <c r="B1" i="6"/>
  <c r="B1" i="4"/>
  <c r="B1" i="10"/>
  <c r="E11" i="10" s="1"/>
  <c r="B4" i="2"/>
  <c r="D1" i="4"/>
  <c r="D1" i="6"/>
  <c r="E1" i="6" s="1"/>
  <c r="AD260" i="4"/>
  <c r="AD305" i="4"/>
  <c r="AD304" i="4"/>
  <c r="AD268" i="4"/>
  <c r="AD302" i="4"/>
  <c r="AD301" i="4"/>
  <c r="Z16" i="15" l="1"/>
  <c r="X16" i="15"/>
  <c r="AB16" i="15"/>
  <c r="R16" i="15"/>
  <c r="AF16" i="15"/>
  <c r="V16" i="15"/>
  <c r="AB53" i="2"/>
  <c r="AA16" i="15"/>
  <c r="Y16" i="15"/>
  <c r="W16" i="15"/>
  <c r="X53" i="2"/>
  <c r="AC16" i="15"/>
  <c r="AD16" i="15"/>
  <c r="S16" i="15"/>
  <c r="AE16" i="15"/>
  <c r="T16" i="15"/>
  <c r="R7" i="4"/>
  <c r="AE52" i="2"/>
  <c r="U16" i="15"/>
  <c r="AD53" i="2"/>
  <c r="S50" i="2"/>
  <c r="Y53" i="2"/>
  <c r="V116" i="2"/>
  <c r="G1" i="15"/>
  <c r="E1" i="15"/>
  <c r="V50" i="2"/>
  <c r="Z116" i="2"/>
  <c r="W49" i="2"/>
  <c r="AD122" i="2"/>
  <c r="AB48" i="2"/>
  <c r="R53" i="2"/>
  <c r="AF61" i="2"/>
  <c r="AF72" i="2" s="1"/>
  <c r="AF120" i="2" s="1"/>
  <c r="W53" i="2"/>
  <c r="AE116" i="2"/>
  <c r="AC118" i="2"/>
  <c r="AD116" i="2"/>
  <c r="I4" i="7"/>
  <c r="I39" i="2" s="1"/>
  <c r="I61" i="2" s="1"/>
  <c r="Z53" i="2"/>
  <c r="Z64" i="2"/>
  <c r="Z75" i="2" s="1"/>
  <c r="M4" i="7"/>
  <c r="M39" i="2" s="1"/>
  <c r="R60" i="2"/>
  <c r="E4" i="7"/>
  <c r="E39" i="2" s="1"/>
  <c r="E61" i="2" s="1"/>
  <c r="W65" i="2"/>
  <c r="AB123" i="2"/>
  <c r="S60" i="2"/>
  <c r="S71" i="2" s="1"/>
  <c r="S119" i="2" s="1"/>
  <c r="S49" i="2"/>
  <c r="AD65" i="2"/>
  <c r="AD76" i="2" s="1"/>
  <c r="AD124" i="2" s="1"/>
  <c r="AD54" i="2"/>
  <c r="AD60" i="2"/>
  <c r="AD71" i="2" s="1"/>
  <c r="AD119" i="2" s="1"/>
  <c r="AD49" i="2"/>
  <c r="AC65" i="2"/>
  <c r="AC76" i="2" s="1"/>
  <c r="AC124" i="2" s="1"/>
  <c r="AC54" i="2"/>
  <c r="Z61" i="2"/>
  <c r="Z72" i="2" s="1"/>
  <c r="Z120" i="2" s="1"/>
  <c r="Z50" i="2"/>
  <c r="V60" i="2"/>
  <c r="V71" i="2" s="1"/>
  <c r="V119" i="2" s="1"/>
  <c r="V49" i="2"/>
  <c r="X61" i="2"/>
  <c r="X72" i="2" s="1"/>
  <c r="X120" i="2" s="1"/>
  <c r="X50" i="2"/>
  <c r="T65" i="2"/>
  <c r="T76" i="2" s="1"/>
  <c r="T124" i="2" s="1"/>
  <c r="T54" i="2"/>
  <c r="X49" i="2"/>
  <c r="X60" i="2"/>
  <c r="X71" i="2" s="1"/>
  <c r="X119" i="2" s="1"/>
  <c r="S54" i="2"/>
  <c r="S65" i="2"/>
  <c r="S76" i="2" s="1"/>
  <c r="S124" i="2" s="1"/>
  <c r="T61" i="2"/>
  <c r="T72" i="2" s="1"/>
  <c r="T120" i="2" s="1"/>
  <c r="T50" i="2"/>
  <c r="R59" i="2"/>
  <c r="R70" i="2" s="1"/>
  <c r="R48" i="2"/>
  <c r="AA54" i="2"/>
  <c r="Y63" i="2"/>
  <c r="Y74" i="2" s="1"/>
  <c r="Y52" i="2"/>
  <c r="AC58" i="2"/>
  <c r="AC69" i="2" s="1"/>
  <c r="AC47" i="2"/>
  <c r="AF63" i="2"/>
  <c r="AF74" i="2" s="1"/>
  <c r="AF122" i="2" s="1"/>
  <c r="AF52" i="2"/>
  <c r="AA118" i="2"/>
  <c r="AF59" i="2"/>
  <c r="AF70" i="2" s="1"/>
  <c r="AF118" i="2" s="1"/>
  <c r="AF48" i="2"/>
  <c r="AE59" i="2"/>
  <c r="AE70" i="2" s="1"/>
  <c r="AE118" i="2" s="1"/>
  <c r="AE48" i="2"/>
  <c r="AC62" i="2"/>
  <c r="AC73" i="2" s="1"/>
  <c r="AC121" i="2" s="1"/>
  <c r="AC51" i="2"/>
  <c r="AB122" i="2"/>
  <c r="AE64" i="2"/>
  <c r="AE75" i="2" s="1"/>
  <c r="AE123" i="2" s="1"/>
  <c r="AE53" i="2"/>
  <c r="AA49" i="2"/>
  <c r="AA60" i="2"/>
  <c r="AA71" i="2" s="1"/>
  <c r="AA119" i="2" s="1"/>
  <c r="AD48" i="2"/>
  <c r="AD59" i="2"/>
  <c r="AD70" i="2" s="1"/>
  <c r="AD118" i="2" s="1"/>
  <c r="R61" i="2"/>
  <c r="R72" i="2" s="1"/>
  <c r="R50" i="2"/>
  <c r="V53" i="2"/>
  <c r="Y51" i="2"/>
  <c r="Y62" i="2"/>
  <c r="Y73" i="2" s="1"/>
  <c r="V117" i="2"/>
  <c r="X63" i="2"/>
  <c r="X74" i="2" s="1"/>
  <c r="X122" i="2" s="1"/>
  <c r="X52" i="2"/>
  <c r="U59" i="2"/>
  <c r="U70" i="2" s="1"/>
  <c r="U48" i="2"/>
  <c r="W63" i="2"/>
  <c r="W74" i="2" s="1"/>
  <c r="W122" i="2" s="1"/>
  <c r="W52" i="2"/>
  <c r="Z48" i="2"/>
  <c r="Z59" i="2"/>
  <c r="Z70" i="2" s="1"/>
  <c r="Z118" i="2" s="1"/>
  <c r="S59" i="2"/>
  <c r="S70" i="2" s="1"/>
  <c r="S118" i="2" s="1"/>
  <c r="S48" i="2"/>
  <c r="V62" i="2"/>
  <c r="V73" i="2" s="1"/>
  <c r="V121" i="2" s="1"/>
  <c r="V51" i="2"/>
  <c r="S58" i="2"/>
  <c r="S69" i="2" s="1"/>
  <c r="S117" i="2" s="1"/>
  <c r="S47" i="2"/>
  <c r="T63" i="2"/>
  <c r="T74" i="2" s="1"/>
  <c r="T122" i="2" s="1"/>
  <c r="T52" i="2"/>
  <c r="U64" i="2"/>
  <c r="U75" i="2" s="1"/>
  <c r="U53" i="2"/>
  <c r="U117" i="2"/>
  <c r="Q4" i="7"/>
  <c r="Q39" i="2" s="1"/>
  <c r="S62" i="2"/>
  <c r="S73" i="2" s="1"/>
  <c r="S121" i="2" s="1"/>
  <c r="S51" i="2"/>
  <c r="U58" i="2"/>
  <c r="U69" i="2" s="1"/>
  <c r="U47" i="2"/>
  <c r="AE62" i="2"/>
  <c r="AE73" i="2" s="1"/>
  <c r="AE121" i="2" s="1"/>
  <c r="AE51" i="2"/>
  <c r="T59" i="2"/>
  <c r="T70" i="2" s="1"/>
  <c r="T118" i="2" s="1"/>
  <c r="T48" i="2"/>
  <c r="V63" i="2"/>
  <c r="V74" i="2" s="1"/>
  <c r="V122" i="2" s="1"/>
  <c r="V52" i="2"/>
  <c r="AA58" i="2"/>
  <c r="AA69" i="2" s="1"/>
  <c r="AA117" i="2" s="1"/>
  <c r="AA47" i="2"/>
  <c r="AE120" i="2"/>
  <c r="Z52" i="2"/>
  <c r="Z63" i="2"/>
  <c r="Z74" i="2" s="1"/>
  <c r="Z122" i="2" s="1"/>
  <c r="W59" i="2"/>
  <c r="W70" i="2" s="1"/>
  <c r="W118" i="2" s="1"/>
  <c r="W48" i="2"/>
  <c r="T119" i="2"/>
  <c r="O4" i="7"/>
  <c r="O39" i="2" s="1"/>
  <c r="AB50" i="2"/>
  <c r="AB61" i="2"/>
  <c r="AB72" i="2" s="1"/>
  <c r="AB120" i="2" s="1"/>
  <c r="R62" i="2"/>
  <c r="R73" i="2" s="1"/>
  <c r="R121" i="2" s="1"/>
  <c r="R51" i="2"/>
  <c r="AB58" i="2"/>
  <c r="AB69" i="2" s="1"/>
  <c r="AB117" i="2" s="1"/>
  <c r="AB47" i="2"/>
  <c r="AD62" i="2"/>
  <c r="AD73" i="2" s="1"/>
  <c r="AD121" i="2" s="1"/>
  <c r="AD51" i="2"/>
  <c r="Y50" i="2"/>
  <c r="Y61" i="2"/>
  <c r="Y72" i="2" s="1"/>
  <c r="U51" i="2"/>
  <c r="U62" i="2"/>
  <c r="U73" i="2" s="1"/>
  <c r="R58" i="2"/>
  <c r="R69" i="2" s="1"/>
  <c r="R47" i="2"/>
  <c r="AE117" i="2"/>
  <c r="T123" i="2"/>
  <c r="W61" i="2"/>
  <c r="W72" i="2" s="1"/>
  <c r="W120" i="2" s="1"/>
  <c r="W50" i="2"/>
  <c r="V120" i="2"/>
  <c r="W62" i="2"/>
  <c r="W73" i="2" s="1"/>
  <c r="W121" i="2" s="1"/>
  <c r="W51" i="2"/>
  <c r="AA124" i="2"/>
  <c r="AC60" i="2"/>
  <c r="AC71" i="2" s="1"/>
  <c r="AC119" i="2" s="1"/>
  <c r="AC49" i="2"/>
  <c r="AA116" i="2"/>
  <c r="AA62" i="2"/>
  <c r="AA73" i="2" s="1"/>
  <c r="AA121" i="2" s="1"/>
  <c r="AA51" i="2"/>
  <c r="V118" i="2"/>
  <c r="R65" i="2"/>
  <c r="U65" i="2"/>
  <c r="U76" i="2" s="1"/>
  <c r="U124" i="2" s="1"/>
  <c r="U54" i="2"/>
  <c r="Z54" i="2"/>
  <c r="Z65" i="2"/>
  <c r="Z76" i="2" s="1"/>
  <c r="Z124" i="2" s="1"/>
  <c r="AB119" i="2"/>
  <c r="AD61" i="2"/>
  <c r="AD72" i="2" s="1"/>
  <c r="AD120" i="2" s="1"/>
  <c r="AD50" i="2"/>
  <c r="AF116" i="2"/>
  <c r="AF119" i="2"/>
  <c r="AF123" i="2"/>
  <c r="AC120" i="2"/>
  <c r="AC117" i="2"/>
  <c r="AC116" i="2"/>
  <c r="AB54" i="2"/>
  <c r="AB65" i="2"/>
  <c r="AB76" i="2" s="1"/>
  <c r="AB124" i="2" s="1"/>
  <c r="R123" i="2"/>
  <c r="G4" i="7"/>
  <c r="G39" i="2" s="1"/>
  <c r="G61" i="2" s="1"/>
  <c r="V65" i="2"/>
  <c r="V76" i="2" s="1"/>
  <c r="V124" i="2" s="1"/>
  <c r="V54" i="2"/>
  <c r="R120" i="2"/>
  <c r="R116" i="2"/>
  <c r="R117" i="2"/>
  <c r="Z117" i="2"/>
  <c r="X65" i="2"/>
  <c r="X76" i="2" s="1"/>
  <c r="X124" i="2" s="1"/>
  <c r="X54" i="2"/>
  <c r="AA64" i="2"/>
  <c r="AA75" i="2" s="1"/>
  <c r="AA123" i="2" s="1"/>
  <c r="AA53" i="2"/>
  <c r="AC7" i="4"/>
  <c r="AC35" i="2" s="1"/>
  <c r="AC46" i="2" s="1"/>
  <c r="I7" i="4"/>
  <c r="I35" i="2" s="1"/>
  <c r="I46" i="2" s="1"/>
  <c r="S7" i="4"/>
  <c r="S35" i="2" s="1"/>
  <c r="S46" i="2" s="1"/>
  <c r="X7" i="4"/>
  <c r="X35" i="2" s="1"/>
  <c r="X46" i="2" s="1"/>
  <c r="AD7" i="4"/>
  <c r="AD35" i="2" s="1"/>
  <c r="AD46" i="2" s="1"/>
  <c r="C30" i="16"/>
  <c r="J7" i="4"/>
  <c r="J35" i="2" s="1"/>
  <c r="J46" i="2" s="1"/>
  <c r="T7" i="4"/>
  <c r="T35" i="2" s="1"/>
  <c r="T46" i="2" s="1"/>
  <c r="AE7" i="4"/>
  <c r="AE35" i="2" s="1"/>
  <c r="AE46" i="2" s="1"/>
  <c r="O7" i="4"/>
  <c r="O35" i="2" s="1"/>
  <c r="O46" i="2" s="1"/>
  <c r="K7" i="4"/>
  <c r="K35" i="2" s="1"/>
  <c r="K46" i="2" s="1"/>
  <c r="U7" i="4"/>
  <c r="U35" i="2" s="1"/>
  <c r="U46" i="2" s="1"/>
  <c r="Z7" i="4"/>
  <c r="Z35" i="2" s="1"/>
  <c r="Z46" i="2" s="1"/>
  <c r="AB7" i="4"/>
  <c r="AB35" i="2" s="1"/>
  <c r="AB46" i="2" s="1"/>
  <c r="P7" i="4"/>
  <c r="P35" i="2" s="1"/>
  <c r="P46" i="2" s="1"/>
  <c r="L7" i="4"/>
  <c r="AA7" i="4"/>
  <c r="AA35" i="2" s="1"/>
  <c r="AA46" i="2" s="1"/>
  <c r="W7" i="4"/>
  <c r="W35" i="2" s="1"/>
  <c r="W46" i="2" s="1"/>
  <c r="N7" i="4"/>
  <c r="N35" i="2" s="1"/>
  <c r="N46" i="2" s="1"/>
  <c r="V7" i="4"/>
  <c r="V35" i="2" s="1"/>
  <c r="V46" i="2" s="1"/>
  <c r="AF7" i="4"/>
  <c r="AF35" i="2" s="1"/>
  <c r="AF46" i="2" s="1"/>
  <c r="Q7" i="4"/>
  <c r="M7" i="4"/>
  <c r="AA63" i="2"/>
  <c r="AA74" i="2" s="1"/>
  <c r="AA122" i="2" s="1"/>
  <c r="AA52" i="2"/>
  <c r="AF121" i="2"/>
  <c r="R118" i="2"/>
  <c r="S64" i="2"/>
  <c r="S75" i="2" s="1"/>
  <c r="S123" i="2" s="1"/>
  <c r="S53" i="2"/>
  <c r="Z123" i="2"/>
  <c r="Y120" i="2"/>
  <c r="Z121" i="2"/>
  <c r="Y122" i="2"/>
  <c r="Y116" i="2"/>
  <c r="Y121" i="2"/>
  <c r="Y119" i="2"/>
  <c r="S6" i="7"/>
  <c r="AF6" i="7"/>
  <c r="AB6" i="7"/>
  <c r="U4" i="7"/>
  <c r="T6" i="7"/>
  <c r="AB4" i="7"/>
  <c r="AE4" i="7"/>
  <c r="AA6" i="7"/>
  <c r="S4" i="7"/>
  <c r="R6" i="7"/>
  <c r="U6" i="7"/>
  <c r="Y6" i="7"/>
  <c r="V6" i="7"/>
  <c r="R4" i="7"/>
  <c r="AD6" i="7"/>
  <c r="AC4" i="7"/>
  <c r="X6" i="7"/>
  <c r="AA4" i="7"/>
  <c r="V4" i="7"/>
  <c r="Z6" i="7"/>
  <c r="AD4" i="7"/>
  <c r="AC6" i="7"/>
  <c r="X4" i="7"/>
  <c r="T4" i="7"/>
  <c r="AE6" i="7"/>
  <c r="W6" i="7"/>
  <c r="W4" i="7"/>
  <c r="Y4" i="7"/>
  <c r="AF4" i="7"/>
  <c r="Z4" i="7"/>
  <c r="U120" i="2"/>
  <c r="U119" i="2"/>
  <c r="U123" i="2"/>
  <c r="U118" i="2"/>
  <c r="U116" i="2"/>
  <c r="U121" i="2"/>
  <c r="C62" i="16"/>
  <c r="AC74" i="2"/>
  <c r="AC122" i="2" s="1"/>
  <c r="R76" i="2"/>
  <c r="R124" i="2" s="1"/>
  <c r="AJ88" i="15"/>
  <c r="Z71" i="2"/>
  <c r="Z119" i="2" s="1"/>
  <c r="V75" i="2"/>
  <c r="V123" i="2" s="1"/>
  <c r="B88" i="6"/>
  <c r="B72" i="6"/>
  <c r="C88" i="6"/>
  <c r="D88" i="6"/>
  <c r="M76" i="6"/>
  <c r="M55" i="6"/>
  <c r="M35" i="6"/>
  <c r="M39" i="6"/>
  <c r="M51" i="6"/>
  <c r="M50" i="6"/>
  <c r="M79" i="6"/>
  <c r="M44" i="6"/>
  <c r="M27" i="6"/>
  <c r="M61" i="6"/>
  <c r="M40" i="6"/>
  <c r="M49" i="6"/>
  <c r="M77" i="6"/>
  <c r="M46" i="6"/>
  <c r="M28" i="6"/>
  <c r="M62" i="6"/>
  <c r="M41" i="6"/>
  <c r="M48" i="6"/>
  <c r="M81" i="6"/>
  <c r="M37" i="6"/>
  <c r="M58" i="6"/>
  <c r="M53" i="6"/>
  <c r="M33" i="6"/>
  <c r="M47" i="6"/>
  <c r="M80" i="6"/>
  <c r="M64" i="6"/>
  <c r="M43" i="6"/>
  <c r="M26" i="6"/>
  <c r="M60" i="6"/>
  <c r="M38" i="6"/>
  <c r="M59" i="6"/>
  <c r="M45" i="6"/>
  <c r="M36" i="6"/>
  <c r="M30" i="6"/>
  <c r="M54" i="6"/>
  <c r="M82" i="6"/>
  <c r="M31" i="6"/>
  <c r="M29" i="6"/>
  <c r="M52" i="6"/>
  <c r="M34" i="6"/>
  <c r="M32" i="6"/>
  <c r="M78" i="6"/>
  <c r="M56" i="6"/>
  <c r="M63" i="6"/>
  <c r="M42" i="6"/>
  <c r="M57" i="6"/>
  <c r="AD75" i="2"/>
  <c r="AD123" i="2" s="1"/>
  <c r="Y70" i="2"/>
  <c r="Y118" i="2" s="1"/>
  <c r="AB73" i="2"/>
  <c r="AB121" i="2" s="1"/>
  <c r="Y76" i="2"/>
  <c r="Y124" i="2" s="1"/>
  <c r="U74" i="2"/>
  <c r="U122" i="2" s="1"/>
  <c r="R35" i="2"/>
  <c r="AE76" i="2"/>
  <c r="AE124" i="2" s="1"/>
  <c r="A72" i="6"/>
  <c r="Q61" i="2"/>
  <c r="Q50" i="2"/>
  <c r="A14" i="4"/>
  <c r="M14" i="4"/>
  <c r="AC14" i="4" s="1"/>
  <c r="D20" i="15" s="1"/>
  <c r="Y14" i="4"/>
  <c r="N9" i="3" s="1"/>
  <c r="N69" i="3" s="1"/>
  <c r="W14" i="4"/>
  <c r="C11" i="10"/>
  <c r="U14" i="4"/>
  <c r="G1" i="4"/>
  <c r="Y35" i="2"/>
  <c r="O61" i="2"/>
  <c r="O50" i="2"/>
  <c r="W76" i="2"/>
  <c r="W124" i="2" s="1"/>
  <c r="AH85" i="15"/>
  <c r="S72" i="2"/>
  <c r="S120" i="2" s="1"/>
  <c r="X69" i="2"/>
  <c r="X117" i="2" s="1"/>
  <c r="AA72" i="2"/>
  <c r="AA120" i="2" s="1"/>
  <c r="AF69" i="2"/>
  <c r="AF117" i="2" s="1"/>
  <c r="M35" i="2"/>
  <c r="J38" i="10"/>
  <c r="I1" i="3"/>
  <c r="F12" i="5"/>
  <c r="G12" i="5"/>
  <c r="B52" i="15"/>
  <c r="M61" i="2"/>
  <c r="M50" i="2"/>
  <c r="AH89" i="15"/>
  <c r="AI89" i="15"/>
  <c r="AI85" i="15"/>
  <c r="R71" i="2"/>
  <c r="R119" i="2" s="1"/>
  <c r="F4" i="7"/>
  <c r="F39" i="2" s="1"/>
  <c r="L4" i="7"/>
  <c r="L39" i="2" s="1"/>
  <c r="H4" i="7"/>
  <c r="H39" i="2" s="1"/>
  <c r="N4" i="7"/>
  <c r="N39" i="2" s="1"/>
  <c r="D4" i="7"/>
  <c r="D39" i="2" s="1"/>
  <c r="P4" i="7"/>
  <c r="P39" i="2" s="1"/>
  <c r="G6" i="7"/>
  <c r="D6" i="7"/>
  <c r="J4" i="7"/>
  <c r="J39" i="2" s="1"/>
  <c r="N6" i="7"/>
  <c r="P6" i="7"/>
  <c r="M6" i="7"/>
  <c r="I6" i="7"/>
  <c r="J6" i="7"/>
  <c r="L6" i="7"/>
  <c r="K6" i="7"/>
  <c r="Q6" i="7"/>
  <c r="F6" i="7"/>
  <c r="O6" i="7"/>
  <c r="H6" i="7"/>
  <c r="E6" i="7"/>
  <c r="K4" i="7"/>
  <c r="K39" i="2" s="1"/>
  <c r="AH87" i="15"/>
  <c r="T73" i="2"/>
  <c r="T121" i="2" s="1"/>
  <c r="Y75" i="2"/>
  <c r="Y123" i="2" s="1"/>
  <c r="AK88" i="15"/>
  <c r="I50" i="2" l="1"/>
  <c r="G52" i="15"/>
  <c r="H52" i="15"/>
  <c r="C14" i="10"/>
  <c r="O25" i="15"/>
  <c r="S25" i="15"/>
  <c r="AD25" i="15"/>
  <c r="E25" i="15"/>
  <c r="P25" i="15"/>
  <c r="N25" i="15"/>
  <c r="K25" i="15"/>
  <c r="M25" i="15"/>
  <c r="C25" i="15"/>
  <c r="U25" i="15"/>
  <c r="X25" i="15"/>
  <c r="Y25" i="15"/>
  <c r="V25" i="15"/>
  <c r="L25" i="15"/>
  <c r="AG25" i="15"/>
  <c r="Z25" i="15"/>
  <c r="G25" i="15"/>
  <c r="AC25" i="15"/>
  <c r="W25" i="15"/>
  <c r="Q25" i="15"/>
  <c r="AB25" i="15"/>
  <c r="T25" i="15"/>
  <c r="H25" i="15"/>
  <c r="I25" i="15"/>
  <c r="D25" i="15"/>
  <c r="R25" i="15"/>
  <c r="AE25" i="15"/>
  <c r="J25" i="15"/>
  <c r="F25" i="15"/>
  <c r="AA25" i="15"/>
  <c r="AF25" i="15"/>
  <c r="E50" i="2"/>
  <c r="G50" i="2"/>
  <c r="E72" i="2"/>
  <c r="F61" i="2"/>
  <c r="F50" i="2"/>
  <c r="B15" i="3"/>
  <c r="B22" i="3"/>
  <c r="C22" i="3" s="1"/>
  <c r="D22" i="3" s="1"/>
  <c r="E22" i="3" s="1"/>
  <c r="F22" i="3" s="1"/>
  <c r="G22" i="3" s="1"/>
  <c r="H22" i="3" s="1"/>
  <c r="I22" i="3" s="1"/>
  <c r="J22" i="3" s="1"/>
  <c r="K22" i="3" s="1"/>
  <c r="L22" i="3" s="1"/>
  <c r="M22" i="3" s="1"/>
  <c r="N22" i="3" s="1"/>
  <c r="O22" i="3" s="1"/>
  <c r="P22" i="3" s="1"/>
  <c r="Q22" i="3" s="1"/>
  <c r="R22" i="3" s="1"/>
  <c r="S22" i="3" s="1"/>
  <c r="T22" i="3" s="1"/>
  <c r="U22" i="3" s="1"/>
  <c r="V22" i="3" s="1"/>
  <c r="W22" i="3" s="1"/>
  <c r="X22" i="3" s="1"/>
  <c r="Y22" i="3" s="1"/>
  <c r="Z22" i="3" s="1"/>
  <c r="AA22" i="3" s="1"/>
  <c r="AB22" i="3" s="1"/>
  <c r="AC22" i="3" s="1"/>
  <c r="AD22" i="3" s="1"/>
  <c r="AE22" i="3" s="1"/>
  <c r="AF22" i="3" s="1"/>
  <c r="B50" i="3"/>
  <c r="C50" i="3" s="1"/>
  <c r="D50" i="3" s="1"/>
  <c r="E50" i="3" s="1"/>
  <c r="F50" i="3" s="1"/>
  <c r="G50" i="3" s="1"/>
  <c r="H50" i="3" s="1"/>
  <c r="I50" i="3" s="1"/>
  <c r="J50" i="3" s="1"/>
  <c r="K50" i="3" s="1"/>
  <c r="L50" i="3" s="1"/>
  <c r="M50" i="3" s="1"/>
  <c r="N50" i="3" s="1"/>
  <c r="O50" i="3" s="1"/>
  <c r="P50" i="3" s="1"/>
  <c r="Q50" i="3" s="1"/>
  <c r="R50" i="3" s="1"/>
  <c r="S50" i="3" s="1"/>
  <c r="T50" i="3" s="1"/>
  <c r="U50" i="3" s="1"/>
  <c r="V50" i="3" s="1"/>
  <c r="W50" i="3" s="1"/>
  <c r="X50" i="3" s="1"/>
  <c r="Y50" i="3" s="1"/>
  <c r="Z50" i="3" s="1"/>
  <c r="AA50" i="3" s="1"/>
  <c r="AB50" i="3" s="1"/>
  <c r="AC50" i="3" s="1"/>
  <c r="AD50" i="3" s="1"/>
  <c r="AE50" i="3" s="1"/>
  <c r="AF50" i="3" s="1"/>
  <c r="B39" i="3"/>
  <c r="C39" i="3" s="1"/>
  <c r="D39" i="3" s="1"/>
  <c r="E39" i="3" s="1"/>
  <c r="F39" i="3" s="1"/>
  <c r="G39" i="3" s="1"/>
  <c r="H39" i="3" s="1"/>
  <c r="I39" i="3" s="1"/>
  <c r="J39" i="3" s="1"/>
  <c r="K39" i="3" s="1"/>
  <c r="L39" i="3" s="1"/>
  <c r="M39" i="3" s="1"/>
  <c r="N39" i="3" s="1"/>
  <c r="O39" i="3" s="1"/>
  <c r="P39" i="3" s="1"/>
  <c r="Q39" i="3" s="1"/>
  <c r="R39" i="3" s="1"/>
  <c r="S39" i="3" s="1"/>
  <c r="T39" i="3" s="1"/>
  <c r="U39" i="3" s="1"/>
  <c r="V39" i="3" s="1"/>
  <c r="W39" i="3" s="1"/>
  <c r="X39" i="3" s="1"/>
  <c r="Y39" i="3" s="1"/>
  <c r="Z39" i="3" s="1"/>
  <c r="AA39" i="3" s="1"/>
  <c r="AB39" i="3" s="1"/>
  <c r="AC39" i="3" s="1"/>
  <c r="AD39" i="3" s="1"/>
  <c r="AE39" i="3" s="1"/>
  <c r="AF39" i="3" s="1"/>
  <c r="J1" i="3"/>
  <c r="B13" i="3"/>
  <c r="C13" i="3" s="1"/>
  <c r="D13" i="3" s="1"/>
  <c r="E13" i="3" s="1"/>
  <c r="F13" i="3" s="1"/>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B41" i="3"/>
  <c r="C41" i="3" s="1"/>
  <c r="D41" i="3" s="1"/>
  <c r="E41" i="3" s="1"/>
  <c r="F41" i="3" s="1"/>
  <c r="G41" i="3" s="1"/>
  <c r="H41" i="3" s="1"/>
  <c r="I41" i="3" s="1"/>
  <c r="J41" i="3" s="1"/>
  <c r="K41" i="3" s="1"/>
  <c r="L41" i="3" s="1"/>
  <c r="M41" i="3" s="1"/>
  <c r="N41" i="3" s="1"/>
  <c r="O41" i="3" s="1"/>
  <c r="P41" i="3" s="1"/>
  <c r="Q41" i="3" s="1"/>
  <c r="R41" i="3" s="1"/>
  <c r="S41" i="3" s="1"/>
  <c r="T41" i="3" s="1"/>
  <c r="U41" i="3" s="1"/>
  <c r="V41" i="3" s="1"/>
  <c r="W41" i="3" s="1"/>
  <c r="X41" i="3" s="1"/>
  <c r="Y41" i="3" s="1"/>
  <c r="Z41" i="3" s="1"/>
  <c r="AA41" i="3" s="1"/>
  <c r="AB41" i="3" s="1"/>
  <c r="AC41" i="3" s="1"/>
  <c r="AD41" i="3" s="1"/>
  <c r="AE41" i="3" s="1"/>
  <c r="AF41" i="3" s="1"/>
  <c r="B51" i="3"/>
  <c r="C51" i="3" s="1"/>
  <c r="D51" i="3" s="1"/>
  <c r="E51" i="3" s="1"/>
  <c r="F51" i="3" s="1"/>
  <c r="G51" i="3" s="1"/>
  <c r="H51" i="3" s="1"/>
  <c r="I51" i="3" s="1"/>
  <c r="J51" i="3" s="1"/>
  <c r="K51" i="3" s="1"/>
  <c r="L51" i="3" s="1"/>
  <c r="M51" i="3" s="1"/>
  <c r="N51" i="3" s="1"/>
  <c r="O51" i="3" s="1"/>
  <c r="P51" i="3" s="1"/>
  <c r="Q51" i="3" s="1"/>
  <c r="R51" i="3" s="1"/>
  <c r="S51" i="3" s="1"/>
  <c r="T51" i="3" s="1"/>
  <c r="U51" i="3" s="1"/>
  <c r="V51" i="3" s="1"/>
  <c r="W51" i="3" s="1"/>
  <c r="X51" i="3" s="1"/>
  <c r="Y51" i="3" s="1"/>
  <c r="Z51" i="3" s="1"/>
  <c r="AA51" i="3" s="1"/>
  <c r="AB51" i="3" s="1"/>
  <c r="AC51" i="3" s="1"/>
  <c r="AD51" i="3" s="1"/>
  <c r="AE51" i="3" s="1"/>
  <c r="AF51" i="3" s="1"/>
  <c r="B21" i="3"/>
  <c r="C21" i="3" s="1"/>
  <c r="D21" i="3" s="1"/>
  <c r="E21" i="3" s="1"/>
  <c r="F21" i="3" s="1"/>
  <c r="G21" i="3" s="1"/>
  <c r="H21" i="3" s="1"/>
  <c r="I21" i="3" s="1"/>
  <c r="J21" i="3" s="1"/>
  <c r="K21" i="3" s="1"/>
  <c r="L21" i="3" s="1"/>
  <c r="M21" i="3" s="1"/>
  <c r="N21" i="3" s="1"/>
  <c r="O21" i="3" s="1"/>
  <c r="P21" i="3" s="1"/>
  <c r="Q21" i="3" s="1"/>
  <c r="R21" i="3" s="1"/>
  <c r="S21" i="3" s="1"/>
  <c r="T21" i="3" s="1"/>
  <c r="U21" i="3" s="1"/>
  <c r="V21" i="3" s="1"/>
  <c r="W21" i="3" s="1"/>
  <c r="X21" i="3" s="1"/>
  <c r="Y21" i="3" s="1"/>
  <c r="Z21" i="3" s="1"/>
  <c r="AA21" i="3" s="1"/>
  <c r="AB21" i="3" s="1"/>
  <c r="AC21" i="3" s="1"/>
  <c r="AD21" i="3" s="1"/>
  <c r="AE21" i="3" s="1"/>
  <c r="AF21" i="3" s="1"/>
  <c r="B38" i="3"/>
  <c r="C38" i="3" s="1"/>
  <c r="D38" i="3" s="1"/>
  <c r="E38" i="3" s="1"/>
  <c r="F38" i="3" s="1"/>
  <c r="G38" i="3" s="1"/>
  <c r="H38" i="3" s="1"/>
  <c r="I38" i="3" s="1"/>
  <c r="J38" i="3" s="1"/>
  <c r="K38" i="3" s="1"/>
  <c r="L38" i="3" s="1"/>
  <c r="M38" i="3" s="1"/>
  <c r="N38" i="3" s="1"/>
  <c r="O38" i="3" s="1"/>
  <c r="P38" i="3" s="1"/>
  <c r="Q38" i="3" s="1"/>
  <c r="R38" i="3" s="1"/>
  <c r="S38" i="3" s="1"/>
  <c r="T38" i="3" s="1"/>
  <c r="U38" i="3" s="1"/>
  <c r="V38" i="3" s="1"/>
  <c r="W38" i="3" s="1"/>
  <c r="X38" i="3" s="1"/>
  <c r="Y38" i="3" s="1"/>
  <c r="Z38" i="3" s="1"/>
  <c r="AA38" i="3" s="1"/>
  <c r="AB38" i="3" s="1"/>
  <c r="AC38" i="3" s="1"/>
  <c r="AD38" i="3" s="1"/>
  <c r="AE38" i="3" s="1"/>
  <c r="AF38" i="3" s="1"/>
  <c r="B14" i="3"/>
  <c r="C14" i="3" s="1"/>
  <c r="D14" i="3" s="1"/>
  <c r="E14" i="3" s="1"/>
  <c r="F14" i="3" s="1"/>
  <c r="G14" i="3" s="1"/>
  <c r="H14" i="3" s="1"/>
  <c r="I14" i="3" s="1"/>
  <c r="J14" i="3" s="1"/>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B40" i="3"/>
  <c r="C40" i="3" s="1"/>
  <c r="D40" i="3" s="1"/>
  <c r="E40" i="3" s="1"/>
  <c r="F40" i="3" s="1"/>
  <c r="G40" i="3" s="1"/>
  <c r="H40" i="3" s="1"/>
  <c r="I40" i="3" s="1"/>
  <c r="J40" i="3" s="1"/>
  <c r="K40" i="3" s="1"/>
  <c r="L40" i="3" s="1"/>
  <c r="M40" i="3" s="1"/>
  <c r="N40" i="3" s="1"/>
  <c r="O40" i="3" s="1"/>
  <c r="P40" i="3" s="1"/>
  <c r="Q40" i="3" s="1"/>
  <c r="R40" i="3" s="1"/>
  <c r="S40" i="3" s="1"/>
  <c r="T40" i="3" s="1"/>
  <c r="U40" i="3" s="1"/>
  <c r="V40" i="3" s="1"/>
  <c r="W40" i="3" s="1"/>
  <c r="X40" i="3" s="1"/>
  <c r="Y40" i="3" s="1"/>
  <c r="Z40" i="3" s="1"/>
  <c r="AA40" i="3" s="1"/>
  <c r="AB40" i="3" s="1"/>
  <c r="AC40" i="3" s="1"/>
  <c r="AD40" i="3" s="1"/>
  <c r="AE40" i="3" s="1"/>
  <c r="AF40" i="3" s="1"/>
  <c r="B43" i="3"/>
  <c r="C43" i="3" s="1"/>
  <c r="D43" i="3" s="1"/>
  <c r="E43" i="3" s="1"/>
  <c r="F43" i="3" s="1"/>
  <c r="G43" i="3" s="1"/>
  <c r="H43" i="3" s="1"/>
  <c r="I43" i="3" s="1"/>
  <c r="J43" i="3" s="1"/>
  <c r="K43" i="3" s="1"/>
  <c r="L43" i="3" s="1"/>
  <c r="M43" i="3" s="1"/>
  <c r="N43" i="3" s="1"/>
  <c r="O43" i="3" s="1"/>
  <c r="P43" i="3" s="1"/>
  <c r="Q43" i="3" s="1"/>
  <c r="R43" i="3" s="1"/>
  <c r="S43" i="3" s="1"/>
  <c r="T43" i="3" s="1"/>
  <c r="U43" i="3" s="1"/>
  <c r="V43" i="3" s="1"/>
  <c r="W43" i="3" s="1"/>
  <c r="X43" i="3" s="1"/>
  <c r="Y43" i="3" s="1"/>
  <c r="Z43" i="3" s="1"/>
  <c r="AA43" i="3" s="1"/>
  <c r="AB43" i="3" s="1"/>
  <c r="AC43" i="3" s="1"/>
  <c r="AD43" i="3" s="1"/>
  <c r="AE43" i="3" s="1"/>
  <c r="AF43" i="3" s="1"/>
  <c r="B37" i="3"/>
  <c r="C37" i="3" s="1"/>
  <c r="D37" i="3" s="1"/>
  <c r="E37" i="3" s="1"/>
  <c r="F37" i="3" s="1"/>
  <c r="G37" i="3" s="1"/>
  <c r="H37" i="3" s="1"/>
  <c r="I37" i="3" s="1"/>
  <c r="J37" i="3" s="1"/>
  <c r="K37" i="3" s="1"/>
  <c r="L37" i="3" s="1"/>
  <c r="M37" i="3" s="1"/>
  <c r="N37" i="3" s="1"/>
  <c r="O37" i="3" s="1"/>
  <c r="P37" i="3" s="1"/>
  <c r="Q37" i="3" s="1"/>
  <c r="R37" i="3" s="1"/>
  <c r="S37" i="3" s="1"/>
  <c r="T37" i="3" s="1"/>
  <c r="U37" i="3" s="1"/>
  <c r="V37" i="3" s="1"/>
  <c r="W37" i="3" s="1"/>
  <c r="X37" i="3" s="1"/>
  <c r="Y37" i="3" s="1"/>
  <c r="Z37" i="3" s="1"/>
  <c r="AA37" i="3" s="1"/>
  <c r="AB37" i="3" s="1"/>
  <c r="AC37" i="3" s="1"/>
  <c r="AD37" i="3" s="1"/>
  <c r="AE37" i="3" s="1"/>
  <c r="AF37" i="3" s="1"/>
  <c r="B17" i="3"/>
  <c r="C17" i="3" s="1"/>
  <c r="D17" i="3" s="1"/>
  <c r="E17" i="3" s="1"/>
  <c r="F17" i="3" s="1"/>
  <c r="G17" i="3" s="1"/>
  <c r="H17" i="3" s="1"/>
  <c r="I17" i="3" s="1"/>
  <c r="J17" i="3" s="1"/>
  <c r="K17" i="3" s="1"/>
  <c r="L17" i="3" s="1"/>
  <c r="M17" i="3" s="1"/>
  <c r="N17" i="3" s="1"/>
  <c r="O17" i="3" s="1"/>
  <c r="P17" i="3" s="1"/>
  <c r="Q17" i="3" s="1"/>
  <c r="R17" i="3" s="1"/>
  <c r="S17" i="3" s="1"/>
  <c r="T17" i="3" s="1"/>
  <c r="U17" i="3" s="1"/>
  <c r="V17" i="3" s="1"/>
  <c r="W17" i="3" s="1"/>
  <c r="X17" i="3" s="1"/>
  <c r="Y17" i="3" s="1"/>
  <c r="Z17" i="3" s="1"/>
  <c r="AA17" i="3" s="1"/>
  <c r="AB17" i="3" s="1"/>
  <c r="AC17" i="3" s="1"/>
  <c r="AD17" i="3" s="1"/>
  <c r="AE17" i="3" s="1"/>
  <c r="AF17" i="3" s="1"/>
  <c r="B53" i="3"/>
  <c r="C53" i="3" s="1"/>
  <c r="D53" i="3" s="1"/>
  <c r="E53" i="3" s="1"/>
  <c r="F53" i="3" s="1"/>
  <c r="G53" i="3" s="1"/>
  <c r="H53" i="3" s="1"/>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B49" i="3"/>
  <c r="C49" i="3" s="1"/>
  <c r="D49" i="3" s="1"/>
  <c r="E49" i="3" s="1"/>
  <c r="F49" i="3" s="1"/>
  <c r="G49" i="3" s="1"/>
  <c r="H49" i="3" s="1"/>
  <c r="I49" i="3" s="1"/>
  <c r="J49" i="3" s="1"/>
  <c r="K49" i="3" s="1"/>
  <c r="L49" i="3" s="1"/>
  <c r="M49" i="3" s="1"/>
  <c r="N49" i="3" s="1"/>
  <c r="O49" i="3" s="1"/>
  <c r="P49" i="3" s="1"/>
  <c r="Q49" i="3" s="1"/>
  <c r="R49" i="3" s="1"/>
  <c r="S49" i="3" s="1"/>
  <c r="T49" i="3" s="1"/>
  <c r="U49" i="3" s="1"/>
  <c r="V49" i="3" s="1"/>
  <c r="W49" i="3" s="1"/>
  <c r="X49" i="3" s="1"/>
  <c r="Y49" i="3" s="1"/>
  <c r="Z49" i="3" s="1"/>
  <c r="AA49" i="3" s="1"/>
  <c r="AB49" i="3" s="1"/>
  <c r="AC49" i="3" s="1"/>
  <c r="AD49" i="3" s="1"/>
  <c r="AE49" i="3" s="1"/>
  <c r="AF49" i="3" s="1"/>
  <c r="B52" i="3"/>
  <c r="C52" i="3" s="1"/>
  <c r="D52" i="3" s="1"/>
  <c r="E52" i="3" s="1"/>
  <c r="F52" i="3" s="1"/>
  <c r="G52" i="3" s="1"/>
  <c r="H52" i="3" s="1"/>
  <c r="I52" i="3" s="1"/>
  <c r="J52" i="3" s="1"/>
  <c r="K52" i="3" s="1"/>
  <c r="L52" i="3" s="1"/>
  <c r="M52" i="3" s="1"/>
  <c r="N52" i="3" s="1"/>
  <c r="O52" i="3" s="1"/>
  <c r="P52" i="3" s="1"/>
  <c r="Q52" i="3" s="1"/>
  <c r="R52" i="3" s="1"/>
  <c r="S52" i="3" s="1"/>
  <c r="T52" i="3" s="1"/>
  <c r="U52" i="3" s="1"/>
  <c r="V52" i="3" s="1"/>
  <c r="W52" i="3" s="1"/>
  <c r="X52" i="3" s="1"/>
  <c r="Y52" i="3" s="1"/>
  <c r="Z52" i="3" s="1"/>
  <c r="AA52" i="3" s="1"/>
  <c r="AB52" i="3" s="1"/>
  <c r="AC52" i="3" s="1"/>
  <c r="AD52" i="3" s="1"/>
  <c r="AE52" i="3" s="1"/>
  <c r="AF52" i="3" s="1"/>
  <c r="B16" i="3"/>
  <c r="C16" i="3" s="1"/>
  <c r="D16" i="3" s="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AE16" i="3" s="1"/>
  <c r="AF16" i="3" s="1"/>
  <c r="D14" i="10"/>
  <c r="H11" i="10" s="1"/>
  <c r="P1" i="7"/>
  <c r="C21" i="7" s="1"/>
  <c r="Q72" i="2"/>
  <c r="J61" i="2"/>
  <c r="J50" i="2"/>
  <c r="D4" i="8"/>
  <c r="D87" i="2" s="1"/>
  <c r="H4" i="8"/>
  <c r="H87" i="2" s="1"/>
  <c r="L4" i="8"/>
  <c r="L87" i="2" s="1"/>
  <c r="P4" i="8"/>
  <c r="T4" i="8"/>
  <c r="X4" i="8"/>
  <c r="AB4" i="8"/>
  <c r="AF4" i="8"/>
  <c r="B4" i="8"/>
  <c r="F4" i="8"/>
  <c r="F87" i="2" s="1"/>
  <c r="J4" i="8"/>
  <c r="N4" i="8"/>
  <c r="R4" i="8"/>
  <c r="R83" i="2" s="1"/>
  <c r="V4" i="8"/>
  <c r="Z4" i="8"/>
  <c r="AD4" i="8"/>
  <c r="C4" i="8"/>
  <c r="G4" i="8"/>
  <c r="G109" i="2" s="1"/>
  <c r="K4" i="8"/>
  <c r="K87" i="2" s="1"/>
  <c r="O4" i="8"/>
  <c r="O98" i="2" s="1"/>
  <c r="S4" i="8"/>
  <c r="W4" i="8"/>
  <c r="AA4" i="8"/>
  <c r="AE4" i="8"/>
  <c r="M4" i="8"/>
  <c r="M83" i="2" s="1"/>
  <c r="E4" i="8"/>
  <c r="I4" i="8"/>
  <c r="I109" i="2" s="1"/>
  <c r="Y4" i="8"/>
  <c r="AC4" i="8"/>
  <c r="U4" i="8"/>
  <c r="Q4" i="8"/>
  <c r="Q109" i="2" s="1"/>
  <c r="M72" i="2"/>
  <c r="M46" i="2"/>
  <c r="P61" i="2"/>
  <c r="P50" i="2"/>
  <c r="O72" i="2"/>
  <c r="O92" i="3"/>
  <c r="E91" i="3"/>
  <c r="F91" i="3"/>
  <c r="G91" i="3"/>
  <c r="L80" i="3"/>
  <c r="D80" i="3"/>
  <c r="M80" i="3"/>
  <c r="P70" i="3"/>
  <c r="M69" i="3"/>
  <c r="F69" i="3"/>
  <c r="D70" i="3"/>
  <c r="AD32" i="3"/>
  <c r="P32" i="3"/>
  <c r="C32" i="3"/>
  <c r="Y32" i="3"/>
  <c r="Q31" i="3"/>
  <c r="G31" i="3"/>
  <c r="E31" i="3"/>
  <c r="Y31" i="3"/>
  <c r="L30" i="3"/>
  <c r="D90" i="3"/>
  <c r="L90" i="3"/>
  <c r="M68" i="3"/>
  <c r="C79" i="3"/>
  <c r="D79" i="3"/>
  <c r="J30" i="3"/>
  <c r="B90" i="3"/>
  <c r="B54" i="3" s="1"/>
  <c r="C54" i="3" s="1"/>
  <c r="D54" i="3" s="1"/>
  <c r="E54" i="3" s="1"/>
  <c r="F54" i="3" s="1"/>
  <c r="G54" i="3" s="1"/>
  <c r="H54" i="3" s="1"/>
  <c r="I54" i="3" s="1"/>
  <c r="J54" i="3" s="1"/>
  <c r="K54" i="3" s="1"/>
  <c r="L54" i="3" s="1"/>
  <c r="M54" i="3" s="1"/>
  <c r="N54" i="3" s="1"/>
  <c r="O54" i="3" s="1"/>
  <c r="P54" i="3" s="1"/>
  <c r="Q54" i="3" s="1"/>
  <c r="R54" i="3" s="1"/>
  <c r="S54" i="3" s="1"/>
  <c r="T54" i="3" s="1"/>
  <c r="U54" i="3" s="1"/>
  <c r="V54" i="3" s="1"/>
  <c r="W54" i="3" s="1"/>
  <c r="X54" i="3" s="1"/>
  <c r="Y54" i="3" s="1"/>
  <c r="Z54" i="3" s="1"/>
  <c r="AA54" i="3" s="1"/>
  <c r="AB54" i="3" s="1"/>
  <c r="AC54" i="3" s="1"/>
  <c r="AD54" i="3" s="1"/>
  <c r="AE54" i="3" s="1"/>
  <c r="AF54" i="3" s="1"/>
  <c r="C91" i="3"/>
  <c r="D92" i="3"/>
  <c r="N91" i="3"/>
  <c r="D91" i="3"/>
  <c r="Q80" i="3"/>
  <c r="L81" i="3"/>
  <c r="B80" i="3"/>
  <c r="K69" i="3"/>
  <c r="B69" i="3"/>
  <c r="F32" i="3"/>
  <c r="L32" i="3"/>
  <c r="Q32" i="3"/>
  <c r="B32" i="3"/>
  <c r="P31" i="3"/>
  <c r="N31" i="3"/>
  <c r="L31" i="3"/>
  <c r="B30" i="3"/>
  <c r="Q30" i="3"/>
  <c r="H30" i="3"/>
  <c r="K90" i="3"/>
  <c r="M90" i="3"/>
  <c r="D30" i="3"/>
  <c r="P79" i="3"/>
  <c r="H68" i="3"/>
  <c r="O30" i="3"/>
  <c r="E92" i="3"/>
  <c r="L91" i="3"/>
  <c r="K91" i="3"/>
  <c r="B57" i="3" s="1"/>
  <c r="C57" i="3" s="1"/>
  <c r="D57" i="3" s="1"/>
  <c r="E57" i="3" s="1"/>
  <c r="F57" i="3" s="1"/>
  <c r="G57" i="3" s="1"/>
  <c r="H57" i="3" s="1"/>
  <c r="I57" i="3" s="1"/>
  <c r="J57" i="3" s="1"/>
  <c r="K57" i="3" s="1"/>
  <c r="L57" i="3" s="1"/>
  <c r="M57" i="3" s="1"/>
  <c r="N57" i="3" s="1"/>
  <c r="O57" i="3" s="1"/>
  <c r="P57" i="3" s="1"/>
  <c r="Q57" i="3" s="1"/>
  <c r="R57" i="3" s="1"/>
  <c r="S57" i="3" s="1"/>
  <c r="T57" i="3" s="1"/>
  <c r="U57" i="3" s="1"/>
  <c r="V57" i="3" s="1"/>
  <c r="W57" i="3" s="1"/>
  <c r="X57" i="3" s="1"/>
  <c r="Y57" i="3" s="1"/>
  <c r="Z57" i="3" s="1"/>
  <c r="AA57" i="3" s="1"/>
  <c r="AB57" i="3" s="1"/>
  <c r="AC57" i="3" s="1"/>
  <c r="AD57" i="3" s="1"/>
  <c r="AE57" i="3" s="1"/>
  <c r="AF57" i="3" s="1"/>
  <c r="M81" i="3"/>
  <c r="K81" i="3"/>
  <c r="B46" i="3" s="1"/>
  <c r="C46" i="3" s="1"/>
  <c r="D46" i="3" s="1"/>
  <c r="E46" i="3" s="1"/>
  <c r="F46" i="3" s="1"/>
  <c r="G46" i="3" s="1"/>
  <c r="H46" i="3" s="1"/>
  <c r="I46" i="3" s="1"/>
  <c r="J46" i="3" s="1"/>
  <c r="K46" i="3" s="1"/>
  <c r="L46" i="3" s="1"/>
  <c r="M46" i="3" s="1"/>
  <c r="N46" i="3" s="1"/>
  <c r="O46" i="3" s="1"/>
  <c r="P46" i="3" s="1"/>
  <c r="Q46" i="3" s="1"/>
  <c r="R46" i="3" s="1"/>
  <c r="S46" i="3" s="1"/>
  <c r="T46" i="3" s="1"/>
  <c r="U46" i="3" s="1"/>
  <c r="V46" i="3" s="1"/>
  <c r="W46" i="3" s="1"/>
  <c r="X46" i="3" s="1"/>
  <c r="Y46" i="3" s="1"/>
  <c r="Z46" i="3" s="1"/>
  <c r="AA46" i="3" s="1"/>
  <c r="AB46" i="3" s="1"/>
  <c r="AC46" i="3" s="1"/>
  <c r="AD46" i="3" s="1"/>
  <c r="AE46" i="3" s="1"/>
  <c r="AF46" i="3" s="1"/>
  <c r="G80" i="3"/>
  <c r="M70" i="3"/>
  <c r="E70" i="3"/>
  <c r="O32" i="3"/>
  <c r="AB32" i="3"/>
  <c r="I32" i="3"/>
  <c r="K31" i="3"/>
  <c r="AD31" i="3"/>
  <c r="D31" i="3"/>
  <c r="I30" i="3"/>
  <c r="G68" i="3"/>
  <c r="S30" i="3"/>
  <c r="E30" i="3"/>
  <c r="G90" i="3"/>
  <c r="M30" i="3"/>
  <c r="U30" i="3"/>
  <c r="M91" i="3"/>
  <c r="B91" i="3"/>
  <c r="B55" i="3" s="1"/>
  <c r="C55" i="3" s="1"/>
  <c r="D55" i="3" s="1"/>
  <c r="E55" i="3" s="1"/>
  <c r="F55" i="3" s="1"/>
  <c r="G55" i="3" s="1"/>
  <c r="H55" i="3" s="1"/>
  <c r="I55" i="3" s="1"/>
  <c r="J55" i="3" s="1"/>
  <c r="K55" i="3" s="1"/>
  <c r="L55" i="3" s="1"/>
  <c r="M55" i="3" s="1"/>
  <c r="N55" i="3" s="1"/>
  <c r="O55" i="3" s="1"/>
  <c r="P55" i="3" s="1"/>
  <c r="Q55" i="3" s="1"/>
  <c r="R55" i="3" s="1"/>
  <c r="S55" i="3" s="1"/>
  <c r="T55" i="3" s="1"/>
  <c r="U55" i="3" s="1"/>
  <c r="V55" i="3" s="1"/>
  <c r="W55" i="3" s="1"/>
  <c r="X55" i="3" s="1"/>
  <c r="Y55" i="3" s="1"/>
  <c r="Z55" i="3" s="1"/>
  <c r="AA55" i="3" s="1"/>
  <c r="AB55" i="3" s="1"/>
  <c r="AC55" i="3" s="1"/>
  <c r="AD55" i="3" s="1"/>
  <c r="AE55" i="3" s="1"/>
  <c r="AF55" i="3" s="1"/>
  <c r="L92" i="3"/>
  <c r="B81" i="3"/>
  <c r="H81" i="3"/>
  <c r="F80" i="3"/>
  <c r="H69" i="3"/>
  <c r="G32" i="3"/>
  <c r="T32" i="3"/>
  <c r="X32" i="3"/>
  <c r="C31" i="3"/>
  <c r="V31" i="3"/>
  <c r="Z31" i="3"/>
  <c r="H79" i="3"/>
  <c r="Q90" i="3"/>
  <c r="AB30" i="3"/>
  <c r="Z30" i="3"/>
  <c r="O90" i="3"/>
  <c r="H90" i="3"/>
  <c r="E79" i="3"/>
  <c r="H91" i="3"/>
  <c r="B92" i="3"/>
  <c r="B56" i="3" s="1"/>
  <c r="C56" i="3" s="1"/>
  <c r="D56" i="3" s="1"/>
  <c r="E56" i="3" s="1"/>
  <c r="F56" i="3" s="1"/>
  <c r="G56" i="3" s="1"/>
  <c r="H56" i="3" s="1"/>
  <c r="I56" i="3" s="1"/>
  <c r="J56" i="3" s="1"/>
  <c r="K56" i="3" s="1"/>
  <c r="L56" i="3" s="1"/>
  <c r="M56" i="3" s="1"/>
  <c r="N56" i="3" s="1"/>
  <c r="O56" i="3" s="1"/>
  <c r="P56" i="3" s="1"/>
  <c r="Q56" i="3" s="1"/>
  <c r="R56" i="3" s="1"/>
  <c r="S56" i="3" s="1"/>
  <c r="T56" i="3" s="1"/>
  <c r="U56" i="3" s="1"/>
  <c r="V56" i="3" s="1"/>
  <c r="W56" i="3" s="1"/>
  <c r="X56" i="3" s="1"/>
  <c r="Y56" i="3" s="1"/>
  <c r="Z56" i="3" s="1"/>
  <c r="AA56" i="3" s="1"/>
  <c r="AB56" i="3" s="1"/>
  <c r="AC56" i="3" s="1"/>
  <c r="AD56" i="3" s="1"/>
  <c r="AE56" i="3" s="1"/>
  <c r="AF56" i="3" s="1"/>
  <c r="P91" i="3"/>
  <c r="P80" i="3"/>
  <c r="O81" i="3"/>
  <c r="O69" i="3"/>
  <c r="Q69" i="3"/>
  <c r="F70" i="3"/>
  <c r="V32" i="3"/>
  <c r="D32" i="3"/>
  <c r="H32" i="3"/>
  <c r="I31" i="3"/>
  <c r="F31" i="3"/>
  <c r="R31" i="3"/>
  <c r="B68" i="3"/>
  <c r="AE30" i="3"/>
  <c r="K30" i="3"/>
  <c r="N90" i="3"/>
  <c r="Q68" i="3"/>
  <c r="P30" i="3"/>
  <c r="P90" i="3"/>
  <c r="Q91" i="3"/>
  <c r="K92" i="3"/>
  <c r="B58" i="3" s="1"/>
  <c r="C58" i="3" s="1"/>
  <c r="D58" i="3" s="1"/>
  <c r="E58" i="3" s="1"/>
  <c r="F58" i="3" s="1"/>
  <c r="G58" i="3" s="1"/>
  <c r="H58" i="3" s="1"/>
  <c r="I58" i="3" s="1"/>
  <c r="J58" i="3" s="1"/>
  <c r="K58" i="3" s="1"/>
  <c r="L58" i="3" s="1"/>
  <c r="M58" i="3" s="1"/>
  <c r="N58" i="3" s="1"/>
  <c r="O58" i="3" s="1"/>
  <c r="P58" i="3" s="1"/>
  <c r="Q58" i="3" s="1"/>
  <c r="R58" i="3" s="1"/>
  <c r="S58" i="3" s="1"/>
  <c r="T58" i="3" s="1"/>
  <c r="U58" i="3" s="1"/>
  <c r="V58" i="3" s="1"/>
  <c r="W58" i="3" s="1"/>
  <c r="X58" i="3" s="1"/>
  <c r="Y58" i="3" s="1"/>
  <c r="Z58" i="3" s="1"/>
  <c r="AA58" i="3" s="1"/>
  <c r="AB58" i="3" s="1"/>
  <c r="AC58" i="3" s="1"/>
  <c r="AD58" i="3" s="1"/>
  <c r="AE58" i="3" s="1"/>
  <c r="AF58" i="3" s="1"/>
  <c r="O91" i="3"/>
  <c r="P81" i="3"/>
  <c r="E81" i="3"/>
  <c r="O70" i="3"/>
  <c r="D69" i="3"/>
  <c r="N32" i="3"/>
  <c r="AA32" i="3"/>
  <c r="Z32" i="3"/>
  <c r="X31" i="3"/>
  <c r="AC31" i="3"/>
  <c r="J31" i="3"/>
  <c r="C30" i="3"/>
  <c r="N30" i="3"/>
  <c r="F90" i="3"/>
  <c r="O79" i="3"/>
  <c r="E90" i="3"/>
  <c r="W30" i="3"/>
  <c r="Q79" i="3"/>
  <c r="H92" i="3"/>
  <c r="G92" i="3"/>
  <c r="Q81" i="3"/>
  <c r="F81" i="3"/>
  <c r="C80" i="3"/>
  <c r="L70" i="3"/>
  <c r="B70" i="3"/>
  <c r="C70" i="3"/>
  <c r="AC32" i="3"/>
  <c r="S32" i="3"/>
  <c r="AF32" i="3"/>
  <c r="H31" i="3"/>
  <c r="U31" i="3"/>
  <c r="AF31" i="3"/>
  <c r="R30" i="3"/>
  <c r="D68" i="3"/>
  <c r="Y30" i="3"/>
  <c r="V30" i="3"/>
  <c r="L68" i="3"/>
  <c r="C90" i="3"/>
  <c r="N92" i="3"/>
  <c r="C92" i="3"/>
  <c r="E80" i="3"/>
  <c r="C81" i="3"/>
  <c r="H80" i="3"/>
  <c r="N70" i="3"/>
  <c r="G70" i="3"/>
  <c r="W32" i="3"/>
  <c r="E32" i="3"/>
  <c r="J32" i="3"/>
  <c r="S31" i="3"/>
  <c r="O31" i="3"/>
  <c r="T31" i="3"/>
  <c r="AC30" i="3"/>
  <c r="F30" i="3"/>
  <c r="N68" i="3"/>
  <c r="O68" i="3"/>
  <c r="F68" i="3"/>
  <c r="M79" i="3"/>
  <c r="E68" i="3"/>
  <c r="O80" i="3"/>
  <c r="C69" i="3"/>
  <c r="AA31" i="3"/>
  <c r="F79" i="3"/>
  <c r="B79" i="3"/>
  <c r="B42" i="3" s="1"/>
  <c r="C42" i="3" s="1"/>
  <c r="D42" i="3" s="1"/>
  <c r="E42" i="3" s="1"/>
  <c r="F42" i="3" s="1"/>
  <c r="G42" i="3" s="1"/>
  <c r="H42" i="3" s="1"/>
  <c r="I42" i="3" s="1"/>
  <c r="J42" i="3" s="1"/>
  <c r="K42" i="3" s="1"/>
  <c r="L42" i="3" s="1"/>
  <c r="M42" i="3" s="1"/>
  <c r="N42" i="3" s="1"/>
  <c r="O42" i="3" s="1"/>
  <c r="P42" i="3" s="1"/>
  <c r="Q42" i="3" s="1"/>
  <c r="R42" i="3" s="1"/>
  <c r="S42" i="3" s="1"/>
  <c r="T42" i="3" s="1"/>
  <c r="U42" i="3" s="1"/>
  <c r="V42" i="3" s="1"/>
  <c r="W42" i="3" s="1"/>
  <c r="X42" i="3" s="1"/>
  <c r="Y42" i="3" s="1"/>
  <c r="Z42" i="3" s="1"/>
  <c r="AA42" i="3" s="1"/>
  <c r="AB42" i="3" s="1"/>
  <c r="AC42" i="3" s="1"/>
  <c r="AD42" i="3" s="1"/>
  <c r="AE42" i="3" s="1"/>
  <c r="AF42" i="3" s="1"/>
  <c r="C68" i="3"/>
  <c r="N80" i="3"/>
  <c r="G69" i="3"/>
  <c r="AE31" i="3"/>
  <c r="G79" i="3"/>
  <c r="Q92" i="3"/>
  <c r="N81" i="3"/>
  <c r="U32" i="3"/>
  <c r="M31" i="3"/>
  <c r="AD30" i="3"/>
  <c r="F92" i="3"/>
  <c r="K80" i="3"/>
  <c r="B45" i="3" s="1"/>
  <c r="C45" i="3" s="1"/>
  <c r="D45" i="3" s="1"/>
  <c r="E45" i="3" s="1"/>
  <c r="F45" i="3" s="1"/>
  <c r="G45" i="3" s="1"/>
  <c r="H45" i="3" s="1"/>
  <c r="I45" i="3" s="1"/>
  <c r="J45" i="3" s="1"/>
  <c r="K45" i="3" s="1"/>
  <c r="L45" i="3" s="1"/>
  <c r="M45" i="3" s="1"/>
  <c r="N45" i="3" s="1"/>
  <c r="O45" i="3" s="1"/>
  <c r="P45" i="3" s="1"/>
  <c r="Q45" i="3" s="1"/>
  <c r="R45" i="3" s="1"/>
  <c r="S45" i="3" s="1"/>
  <c r="T45" i="3" s="1"/>
  <c r="U45" i="3" s="1"/>
  <c r="V45" i="3" s="1"/>
  <c r="W45" i="3" s="1"/>
  <c r="X45" i="3" s="1"/>
  <c r="Y45" i="3" s="1"/>
  <c r="Z45" i="3" s="1"/>
  <c r="AA45" i="3" s="1"/>
  <c r="AB45" i="3" s="1"/>
  <c r="AC45" i="3" s="1"/>
  <c r="AD45" i="3" s="1"/>
  <c r="AE45" i="3" s="1"/>
  <c r="AF45" i="3" s="1"/>
  <c r="M32" i="3"/>
  <c r="AB31" i="3"/>
  <c r="N79" i="3"/>
  <c r="G81" i="3"/>
  <c r="H70" i="3"/>
  <c r="B31" i="3"/>
  <c r="K79" i="3"/>
  <c r="X30" i="3"/>
  <c r="T30" i="3"/>
  <c r="P92" i="3"/>
  <c r="W31" i="3"/>
  <c r="M92" i="3"/>
  <c r="K68" i="3"/>
  <c r="D81" i="3"/>
  <c r="AF30" i="3"/>
  <c r="K70" i="3"/>
  <c r="B20" i="3" s="1"/>
  <c r="C20" i="3" s="1"/>
  <c r="D20" i="3" s="1"/>
  <c r="E20" i="3" s="1"/>
  <c r="F20" i="3" s="1"/>
  <c r="G20" i="3" s="1"/>
  <c r="H20" i="3" s="1"/>
  <c r="I20" i="3" s="1"/>
  <c r="J20" i="3" s="1"/>
  <c r="K20" i="3" s="1"/>
  <c r="L20" i="3" s="1"/>
  <c r="M20" i="3" s="1"/>
  <c r="N20" i="3" s="1"/>
  <c r="O20" i="3" s="1"/>
  <c r="P20" i="3" s="1"/>
  <c r="Q20" i="3" s="1"/>
  <c r="R20" i="3" s="1"/>
  <c r="S20" i="3" s="1"/>
  <c r="T20" i="3" s="1"/>
  <c r="U20" i="3" s="1"/>
  <c r="V20" i="3" s="1"/>
  <c r="W20" i="3" s="1"/>
  <c r="X20" i="3" s="1"/>
  <c r="Y20" i="3" s="1"/>
  <c r="Z20" i="3" s="1"/>
  <c r="AA20" i="3" s="1"/>
  <c r="AB20" i="3" s="1"/>
  <c r="AC20" i="3" s="1"/>
  <c r="AD20" i="3" s="1"/>
  <c r="AE20" i="3" s="1"/>
  <c r="AF20" i="3" s="1"/>
  <c r="L79" i="3"/>
  <c r="Q70" i="3"/>
  <c r="G30" i="3"/>
  <c r="AE32" i="3"/>
  <c r="AA30" i="3"/>
  <c r="K32" i="3"/>
  <c r="R32" i="3"/>
  <c r="P68" i="3"/>
  <c r="E69" i="3"/>
  <c r="P69" i="3"/>
  <c r="L69" i="3"/>
  <c r="K61" i="2"/>
  <c r="K50" i="2"/>
  <c r="A25" i="10"/>
  <c r="B4" i="4"/>
  <c r="C4" i="4" s="1"/>
  <c r="D4" i="4" s="1"/>
  <c r="E4" i="4" s="1"/>
  <c r="F4" i="4" s="1"/>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D50" i="2"/>
  <c r="D61" i="2"/>
  <c r="N61" i="2"/>
  <c r="N50" i="2"/>
  <c r="Y46" i="2"/>
  <c r="H1" i="6"/>
  <c r="R69" i="6" s="1"/>
  <c r="A30" i="4"/>
  <c r="B5" i="15"/>
  <c r="A27" i="4"/>
  <c r="G72" i="2"/>
  <c r="I72" i="2"/>
  <c r="L61" i="2"/>
  <c r="L50" i="2"/>
  <c r="H50" i="2"/>
  <c r="H61" i="2"/>
  <c r="R46" i="2"/>
  <c r="G98" i="2" l="1"/>
  <c r="R16" i="6"/>
  <c r="R94" i="2"/>
  <c r="E98" i="2"/>
  <c r="D98" i="2"/>
  <c r="B19" i="3"/>
  <c r="C19" i="3" s="1"/>
  <c r="D19" i="3" s="1"/>
  <c r="E19" i="3" s="1"/>
  <c r="F19" i="3" s="1"/>
  <c r="G19" i="3" s="1"/>
  <c r="H19" i="3" s="1"/>
  <c r="I19" i="3" s="1"/>
  <c r="J19" i="3" s="1"/>
  <c r="K19" i="3" s="1"/>
  <c r="L19" i="3" s="1"/>
  <c r="M19" i="3" s="1"/>
  <c r="N19" i="3" s="1"/>
  <c r="O19" i="3" s="1"/>
  <c r="P19" i="3" s="1"/>
  <c r="Q19" i="3" s="1"/>
  <c r="R19" i="3" s="1"/>
  <c r="S19" i="3" s="1"/>
  <c r="T19" i="3" s="1"/>
  <c r="U19" i="3" s="1"/>
  <c r="V19" i="3" s="1"/>
  <c r="W19" i="3" s="1"/>
  <c r="X19" i="3" s="1"/>
  <c r="Y19" i="3" s="1"/>
  <c r="Z19" i="3" s="1"/>
  <c r="AA19" i="3" s="1"/>
  <c r="AB19" i="3" s="1"/>
  <c r="AC19" i="3" s="1"/>
  <c r="AD19" i="3" s="1"/>
  <c r="AE19" i="3" s="1"/>
  <c r="AF19" i="3" s="1"/>
  <c r="H98" i="2"/>
  <c r="I98" i="2"/>
  <c r="M98" i="2"/>
  <c r="Q98" i="2"/>
  <c r="AF69" i="6"/>
  <c r="AF16" i="6" s="1"/>
  <c r="Y69" i="6"/>
  <c r="Y16" i="6" s="1"/>
  <c r="Y94" i="2"/>
  <c r="AC69" i="6"/>
  <c r="AC16" i="6" s="1"/>
  <c r="B44" i="3"/>
  <c r="C44" i="3" s="1"/>
  <c r="D44" i="3" s="1"/>
  <c r="E44" i="3" s="1"/>
  <c r="F44" i="3" s="1"/>
  <c r="G44" i="3" s="1"/>
  <c r="H44" i="3" s="1"/>
  <c r="I44" i="3" s="1"/>
  <c r="J44" i="3" s="1"/>
  <c r="K44" i="3" s="1"/>
  <c r="L44" i="3" s="1"/>
  <c r="M44" i="3" s="1"/>
  <c r="N44" i="3" s="1"/>
  <c r="O44" i="3" s="1"/>
  <c r="P44" i="3" s="1"/>
  <c r="Q44" i="3" s="1"/>
  <c r="R44" i="3" s="1"/>
  <c r="S44" i="3" s="1"/>
  <c r="T44" i="3" s="1"/>
  <c r="U44" i="3" s="1"/>
  <c r="V44" i="3" s="1"/>
  <c r="W44" i="3" s="1"/>
  <c r="X44" i="3" s="1"/>
  <c r="Y44" i="3" s="1"/>
  <c r="Z44" i="3" s="1"/>
  <c r="AA44" i="3" s="1"/>
  <c r="AB44" i="3" s="1"/>
  <c r="AC44" i="3" s="1"/>
  <c r="AD44" i="3" s="1"/>
  <c r="AE44" i="3" s="1"/>
  <c r="AF44" i="3" s="1"/>
  <c r="V69" i="6"/>
  <c r="V16" i="6" s="1"/>
  <c r="M94" i="2"/>
  <c r="C69" i="6"/>
  <c r="C16" i="6" s="1"/>
  <c r="Z69" i="6"/>
  <c r="Z16" i="6" s="1"/>
  <c r="B18" i="3"/>
  <c r="C18" i="3" s="1"/>
  <c r="D18" i="3" s="1"/>
  <c r="E18" i="3" s="1"/>
  <c r="F18" i="3" s="1"/>
  <c r="G18" i="3" s="1"/>
  <c r="H18" i="3" s="1"/>
  <c r="I18" i="3" s="1"/>
  <c r="J18" i="3" s="1"/>
  <c r="K18" i="3" s="1"/>
  <c r="L18" i="3" s="1"/>
  <c r="M18" i="3" s="1"/>
  <c r="N18" i="3" s="1"/>
  <c r="O18" i="3" s="1"/>
  <c r="P18" i="3" s="1"/>
  <c r="Q18" i="3" s="1"/>
  <c r="R18" i="3" s="1"/>
  <c r="S18" i="3" s="1"/>
  <c r="T18" i="3" s="1"/>
  <c r="U18" i="3" s="1"/>
  <c r="V18" i="3" s="1"/>
  <c r="W18" i="3" s="1"/>
  <c r="X18" i="3" s="1"/>
  <c r="Y18" i="3" s="1"/>
  <c r="Z18" i="3" s="1"/>
  <c r="AA18" i="3" s="1"/>
  <c r="AB18" i="3" s="1"/>
  <c r="AC18" i="3" s="1"/>
  <c r="AD18" i="3" s="1"/>
  <c r="AE18" i="3" s="1"/>
  <c r="AF18" i="3" s="1"/>
  <c r="AE69" i="6"/>
  <c r="AE16" i="6" s="1"/>
  <c r="AI69" i="6"/>
  <c r="AI16" i="6" s="1"/>
  <c r="AB69" i="6"/>
  <c r="AB16" i="6" s="1"/>
  <c r="Y4" i="6"/>
  <c r="Y10" i="6" s="1"/>
  <c r="Y87" i="2"/>
  <c r="Y29" i="5"/>
  <c r="Y98" i="2"/>
  <c r="Y79" i="2"/>
  <c r="Y109" i="2"/>
  <c r="Y95" i="2"/>
  <c r="Y88" i="2"/>
  <c r="Y100" i="2"/>
  <c r="Y84" i="2"/>
  <c r="Y110" i="2"/>
  <c r="Y91" i="2"/>
  <c r="Y99" i="2"/>
  <c r="Y111" i="2"/>
  <c r="Y89" i="2"/>
  <c r="Y106" i="2"/>
  <c r="Y86" i="2"/>
  <c r="Y90" i="2"/>
  <c r="Y108" i="2"/>
  <c r="Y85" i="2"/>
  <c r="Y105" i="2"/>
  <c r="Y97" i="2"/>
  <c r="Y102" i="2"/>
  <c r="Y16" i="7"/>
  <c r="Y101" i="2"/>
  <c r="Y113" i="2"/>
  <c r="Y96" i="2"/>
  <c r="Y107" i="2"/>
  <c r="Y112" i="2"/>
  <c r="N4" i="6"/>
  <c r="N10" i="6" s="1"/>
  <c r="N79" i="2"/>
  <c r="N80" i="2" s="1"/>
  <c r="N29" i="5"/>
  <c r="N83" i="2"/>
  <c r="N94" i="2"/>
  <c r="N16" i="7"/>
  <c r="I11" i="10"/>
  <c r="J11" i="10" s="1"/>
  <c r="K11" i="10" s="1"/>
  <c r="L11" i="10" s="1"/>
  <c r="M11" i="10" s="1"/>
  <c r="N11" i="10" s="1"/>
  <c r="O11" i="10" s="1"/>
  <c r="P11" i="10" s="1"/>
  <c r="Q11" i="10" s="1"/>
  <c r="R11" i="10" s="1"/>
  <c r="S11" i="10" s="1"/>
  <c r="T11" i="10" s="1"/>
  <c r="U11" i="10" s="1"/>
  <c r="V11" i="10" s="1"/>
  <c r="W11" i="10" s="1"/>
  <c r="X11" i="10" s="1"/>
  <c r="Y11" i="10" s="1"/>
  <c r="Z11" i="10" s="1"/>
  <c r="AA11" i="10" s="1"/>
  <c r="AB11" i="10" s="1"/>
  <c r="AC11" i="10" s="1"/>
  <c r="AD11" i="10" s="1"/>
  <c r="AE11" i="10" s="1"/>
  <c r="AF11" i="10" s="1"/>
  <c r="AG11" i="10" s="1"/>
  <c r="AH11" i="10" s="1"/>
  <c r="AI11" i="10" s="1"/>
  <c r="AJ11" i="10" s="1"/>
  <c r="AK11" i="10" s="1"/>
  <c r="AL11" i="10" s="1"/>
  <c r="AM11" i="10" s="1"/>
  <c r="AN11" i="10" s="1"/>
  <c r="AO11" i="10" s="1"/>
  <c r="AP11" i="10" s="1"/>
  <c r="AQ11" i="10" s="1"/>
  <c r="AR11" i="10" s="1"/>
  <c r="AS11" i="10" s="1"/>
  <c r="AT11" i="10" s="1"/>
  <c r="AU11" i="10" s="1"/>
  <c r="AV11" i="10" s="1"/>
  <c r="AW11" i="10" s="1"/>
  <c r="AX11" i="10" s="1"/>
  <c r="AY11" i="10" s="1"/>
  <c r="AZ11" i="10" s="1"/>
  <c r="BA11" i="10" s="1"/>
  <c r="BB11" i="10" s="1"/>
  <c r="BC11" i="10" s="1"/>
  <c r="BD11" i="10" s="1"/>
  <c r="BE11" i="10" s="1"/>
  <c r="K23" i="10"/>
  <c r="K5" i="10" s="1"/>
  <c r="K43" i="2" s="1"/>
  <c r="H23" i="10"/>
  <c r="H5" i="10" s="1"/>
  <c r="H43" i="2" s="1"/>
  <c r="P23" i="10"/>
  <c r="P5" i="10" s="1"/>
  <c r="P43" i="2" s="1"/>
  <c r="J23" i="10"/>
  <c r="J5" i="10" s="1"/>
  <c r="J43" i="2" s="1"/>
  <c r="G23" i="10"/>
  <c r="G5" i="10" s="1"/>
  <c r="G43" i="2" s="1"/>
  <c r="O23" i="10"/>
  <c r="O5" i="10" s="1"/>
  <c r="O43" i="2" s="1"/>
  <c r="L23" i="10"/>
  <c r="L5" i="10" s="1"/>
  <c r="L43" i="2" s="1"/>
  <c r="I23" i="10"/>
  <c r="I5" i="10" s="1"/>
  <c r="I43" i="2" s="1"/>
  <c r="F23" i="10"/>
  <c r="F5" i="10" s="1"/>
  <c r="F43" i="2" s="1"/>
  <c r="M23" i="10"/>
  <c r="M5" i="10" s="1"/>
  <c r="M43" i="2" s="1"/>
  <c r="D23" i="10"/>
  <c r="D5" i="10" s="1"/>
  <c r="D43" i="2" s="1"/>
  <c r="Q23" i="10"/>
  <c r="E23" i="10"/>
  <c r="E5" i="10" s="1"/>
  <c r="E43" i="2" s="1"/>
  <c r="N23" i="10"/>
  <c r="N5" i="10" s="1"/>
  <c r="N43" i="2" s="1"/>
  <c r="C23" i="10"/>
  <c r="C5" i="10" s="1"/>
  <c r="C43" i="2" s="1"/>
  <c r="Z23" i="10"/>
  <c r="Z5" i="10" s="1"/>
  <c r="AA23" i="10"/>
  <c r="AA5" i="10" s="1"/>
  <c r="Y23" i="10"/>
  <c r="Y5" i="10" s="1"/>
  <c r="AC23" i="10"/>
  <c r="S23" i="10"/>
  <c r="AE23" i="10"/>
  <c r="AE5" i="10" s="1"/>
  <c r="R23" i="10"/>
  <c r="R5" i="10" s="1"/>
  <c r="AF23" i="10"/>
  <c r="AF5" i="10" s="1"/>
  <c r="W23" i="10"/>
  <c r="W5" i="10" s="1"/>
  <c r="V23" i="10"/>
  <c r="V5" i="10" s="1"/>
  <c r="T23" i="10"/>
  <c r="T5" i="10" s="1"/>
  <c r="AB23" i="10"/>
  <c r="X23" i="10"/>
  <c r="X5" i="10" s="1"/>
  <c r="B23" i="10"/>
  <c r="B5" i="10" s="1"/>
  <c r="U23" i="10"/>
  <c r="U5" i="10" s="1"/>
  <c r="AD23" i="10"/>
  <c r="AD5" i="10" s="1"/>
  <c r="G69" i="6"/>
  <c r="G16" i="6" s="1"/>
  <c r="D69" i="6"/>
  <c r="D16" i="6" s="1"/>
  <c r="AJ69" i="6"/>
  <c r="AJ16" i="6" s="1"/>
  <c r="AG69" i="6"/>
  <c r="AG16" i="6" s="1"/>
  <c r="AD69" i="6"/>
  <c r="AD16" i="6" s="1"/>
  <c r="E4" i="6"/>
  <c r="E10" i="6" s="1"/>
  <c r="E79" i="2"/>
  <c r="E80" i="2" s="1"/>
  <c r="E120" i="2" s="1"/>
  <c r="E29" i="5"/>
  <c r="E87" i="2"/>
  <c r="E16" i="7"/>
  <c r="G4" i="6"/>
  <c r="G10" i="6" s="1"/>
  <c r="G79" i="2"/>
  <c r="G80" i="2" s="1"/>
  <c r="G120" i="2" s="1"/>
  <c r="G29" i="5"/>
  <c r="G87" i="2"/>
  <c r="G16" i="7"/>
  <c r="F4" i="6"/>
  <c r="F10" i="6" s="1"/>
  <c r="F79" i="2"/>
  <c r="F80" i="2" s="1"/>
  <c r="F29" i="5"/>
  <c r="F16" i="7"/>
  <c r="H4" i="6"/>
  <c r="H10" i="6" s="1"/>
  <c r="H79" i="2"/>
  <c r="H80" i="2" s="1"/>
  <c r="H29" i="5"/>
  <c r="H16" i="7"/>
  <c r="F98" i="2"/>
  <c r="O4" i="6"/>
  <c r="O10" i="6" s="1"/>
  <c r="O79" i="2"/>
  <c r="O80" i="2" s="1"/>
  <c r="O120" i="2" s="1"/>
  <c r="O83" i="2"/>
  <c r="O94" i="2"/>
  <c r="O29" i="5"/>
  <c r="O16" i="7"/>
  <c r="O87" i="2"/>
  <c r="P4" i="6"/>
  <c r="P10" i="6" s="1"/>
  <c r="P79" i="2"/>
  <c r="P80" i="2" s="1"/>
  <c r="P94" i="2"/>
  <c r="P29" i="5"/>
  <c r="P83" i="2"/>
  <c r="P16" i="7"/>
  <c r="C15" i="3"/>
  <c r="B4" i="3"/>
  <c r="B5" i="3" s="1"/>
  <c r="B6" i="3" s="1"/>
  <c r="O109" i="2"/>
  <c r="J4" i="6"/>
  <c r="J10" i="6" s="1"/>
  <c r="J79" i="2"/>
  <c r="J80" i="2" s="1"/>
  <c r="J29" i="5"/>
  <c r="J83" i="2"/>
  <c r="J94" i="2"/>
  <c r="J16" i="7"/>
  <c r="L98" i="2"/>
  <c r="P87" i="2"/>
  <c r="K69" i="6"/>
  <c r="K16" i="6" s="1"/>
  <c r="H69" i="6"/>
  <c r="H16" i="6" s="1"/>
  <c r="E69" i="6"/>
  <c r="E16" i="6" s="1"/>
  <c r="AK69" i="6"/>
  <c r="AK16" i="6" s="1"/>
  <c r="AH69" i="6"/>
  <c r="AH16" i="6" s="1"/>
  <c r="M4" i="6"/>
  <c r="M10" i="6" s="1"/>
  <c r="M79" i="2"/>
  <c r="M80" i="2" s="1"/>
  <c r="M29" i="5"/>
  <c r="M87" i="2"/>
  <c r="M16" i="7"/>
  <c r="C4" i="6"/>
  <c r="C10" i="6" s="1"/>
  <c r="C79" i="2"/>
  <c r="C80" i="2" s="1"/>
  <c r="C29" i="5"/>
  <c r="C16" i="7"/>
  <c r="B4" i="6"/>
  <c r="D5" i="8"/>
  <c r="D4" i="15" s="1"/>
  <c r="H5" i="8"/>
  <c r="H4" i="15" s="1"/>
  <c r="L5" i="8"/>
  <c r="L4" i="15" s="1"/>
  <c r="E5" i="8"/>
  <c r="E4" i="15" s="1"/>
  <c r="I5" i="8"/>
  <c r="I4" i="15" s="1"/>
  <c r="F5" i="8"/>
  <c r="F4" i="15" s="1"/>
  <c r="K5" i="8"/>
  <c r="K4" i="15" s="1"/>
  <c r="J5" i="8"/>
  <c r="J4" i="15" s="1"/>
  <c r="C5" i="8"/>
  <c r="C4" i="15" s="1"/>
  <c r="G5" i="8"/>
  <c r="G4" i="15" s="1"/>
  <c r="Y5" i="8"/>
  <c r="Y4" i="15" s="1"/>
  <c r="AA5" i="8"/>
  <c r="AA4" i="15" s="1"/>
  <c r="U5" i="8"/>
  <c r="U4" i="15" s="1"/>
  <c r="V5" i="8"/>
  <c r="V4" i="15" s="1"/>
  <c r="AE5" i="8"/>
  <c r="AE4" i="15" s="1"/>
  <c r="AD5" i="8"/>
  <c r="AD4" i="15" s="1"/>
  <c r="P5" i="8"/>
  <c r="P4" i="15" s="1"/>
  <c r="Z5" i="8"/>
  <c r="Z4" i="15" s="1"/>
  <c r="AB5" i="8"/>
  <c r="AB4" i="15" s="1"/>
  <c r="AF5" i="8"/>
  <c r="AF4" i="15" s="1"/>
  <c r="N5" i="8"/>
  <c r="N4" i="15" s="1"/>
  <c r="W5" i="8"/>
  <c r="W4" i="15" s="1"/>
  <c r="Q5" i="8"/>
  <c r="M5" i="8"/>
  <c r="M4" i="15" s="1"/>
  <c r="X5" i="8"/>
  <c r="X4" i="15" s="1"/>
  <c r="AC5" i="8"/>
  <c r="AC4" i="15" s="1"/>
  <c r="R5" i="8"/>
  <c r="R4" i="15" s="1"/>
  <c r="B5" i="8"/>
  <c r="B4" i="15" s="1"/>
  <c r="O5" i="8"/>
  <c r="O4" i="15" s="1"/>
  <c r="S5" i="8"/>
  <c r="S4" i="15" s="1"/>
  <c r="T5" i="8"/>
  <c r="T4" i="15" s="1"/>
  <c r="D4" i="6"/>
  <c r="D10" i="6" s="1"/>
  <c r="D79" i="2"/>
  <c r="D80" i="2" s="1"/>
  <c r="D29" i="5"/>
  <c r="D16" i="7"/>
  <c r="F72" i="2"/>
  <c r="F109" i="2"/>
  <c r="P98" i="2"/>
  <c r="O69" i="6"/>
  <c r="O16" i="6" s="1"/>
  <c r="L69" i="6"/>
  <c r="L16" i="6" s="1"/>
  <c r="I69" i="6"/>
  <c r="I16" i="6" s="1"/>
  <c r="F69" i="6"/>
  <c r="F16" i="6" s="1"/>
  <c r="M109" i="2"/>
  <c r="AE4" i="6"/>
  <c r="AE10" i="6" s="1"/>
  <c r="AE87" i="2"/>
  <c r="AE98" i="2"/>
  <c r="AE83" i="2"/>
  <c r="AE94" i="2"/>
  <c r="AE29" i="5"/>
  <c r="AE79" i="2"/>
  <c r="AE109" i="2"/>
  <c r="AE91" i="2"/>
  <c r="AE89" i="2"/>
  <c r="AE110" i="2"/>
  <c r="AE106" i="2"/>
  <c r="AE99" i="2"/>
  <c r="AE84" i="2"/>
  <c r="AE111" i="2"/>
  <c r="AE88" i="2"/>
  <c r="AE95" i="2"/>
  <c r="AE105" i="2"/>
  <c r="AE97" i="2"/>
  <c r="AE86" i="2"/>
  <c r="AE107" i="2"/>
  <c r="AE108" i="2"/>
  <c r="AE101" i="2"/>
  <c r="AE112" i="2"/>
  <c r="AE90" i="2"/>
  <c r="AE85" i="2"/>
  <c r="AE96" i="2"/>
  <c r="AE100" i="2"/>
  <c r="AE102" i="2"/>
  <c r="AE113" i="2"/>
  <c r="AE16" i="7"/>
  <c r="AD4" i="6"/>
  <c r="AD10" i="6" s="1"/>
  <c r="AD83" i="2"/>
  <c r="AD94" i="2"/>
  <c r="AD29" i="5"/>
  <c r="AD98" i="2"/>
  <c r="AD87" i="2"/>
  <c r="AD79" i="2"/>
  <c r="AD109" i="2"/>
  <c r="AD89" i="2"/>
  <c r="AD106" i="2"/>
  <c r="AD105" i="2"/>
  <c r="AD88" i="2"/>
  <c r="AD95" i="2"/>
  <c r="AD91" i="2"/>
  <c r="AD100" i="2"/>
  <c r="AD102" i="2"/>
  <c r="AD97" i="2"/>
  <c r="AD84" i="2"/>
  <c r="AD108" i="2"/>
  <c r="AD113" i="2"/>
  <c r="AD110" i="2"/>
  <c r="AD96" i="2"/>
  <c r="AD85" i="2"/>
  <c r="AD90" i="2"/>
  <c r="AD111" i="2"/>
  <c r="AD107" i="2"/>
  <c r="AD99" i="2"/>
  <c r="AD86" i="2"/>
  <c r="AD101" i="2"/>
  <c r="AD112" i="2"/>
  <c r="AD16" i="7"/>
  <c r="AF4" i="6"/>
  <c r="AF29" i="5"/>
  <c r="AF98" i="2"/>
  <c r="AF87" i="2"/>
  <c r="AF79" i="2"/>
  <c r="AF91" i="2"/>
  <c r="AF83" i="2"/>
  <c r="AF102" i="2"/>
  <c r="AF84" i="2"/>
  <c r="AF113" i="2"/>
  <c r="AF99" i="2"/>
  <c r="AF94" i="2"/>
  <c r="AF88" i="2"/>
  <c r="AF86" i="2"/>
  <c r="AF109" i="2"/>
  <c r="AF97" i="2"/>
  <c r="AF100" i="2"/>
  <c r="AF108" i="2"/>
  <c r="AF105" i="2"/>
  <c r="AF85" i="2"/>
  <c r="AF96" i="2"/>
  <c r="AF111" i="2"/>
  <c r="AF90" i="2"/>
  <c r="AF89" i="2"/>
  <c r="AF107" i="2"/>
  <c r="AF112" i="2"/>
  <c r="AF110" i="2"/>
  <c r="AF106" i="2"/>
  <c r="AF95" i="2"/>
  <c r="AF101" i="2"/>
  <c r="AF16" i="7"/>
  <c r="J87" i="2"/>
  <c r="E109" i="2"/>
  <c r="L4" i="6"/>
  <c r="L10" i="6" s="1"/>
  <c r="L79" i="2"/>
  <c r="L80" i="2" s="1"/>
  <c r="L29" i="5"/>
  <c r="L16" i="7"/>
  <c r="L72" i="2"/>
  <c r="L109" i="2"/>
  <c r="L8" i="4"/>
  <c r="L10" i="4" s="1"/>
  <c r="L36" i="2" s="1"/>
  <c r="P8" i="4"/>
  <c r="P10" i="4" s="1"/>
  <c r="P36" i="2" s="1"/>
  <c r="M8" i="4"/>
  <c r="M10" i="4" s="1"/>
  <c r="M36" i="2" s="1"/>
  <c r="R8" i="4"/>
  <c r="R10" i="4" s="1"/>
  <c r="C27" i="4"/>
  <c r="E8" i="4"/>
  <c r="T8" i="4"/>
  <c r="T10" i="4" s="1"/>
  <c r="V8" i="4"/>
  <c r="V10" i="4" s="1"/>
  <c r="AB8" i="4"/>
  <c r="AB10" i="4" s="1"/>
  <c r="Z8" i="4"/>
  <c r="Z10" i="4" s="1"/>
  <c r="AC8" i="4"/>
  <c r="AC10" i="4" s="1"/>
  <c r="AF8" i="4"/>
  <c r="AF10" i="4" s="1"/>
  <c r="AE8" i="4"/>
  <c r="AE10" i="4" s="1"/>
  <c r="AD8" i="4"/>
  <c r="AD10" i="4" s="1"/>
  <c r="AA8" i="4"/>
  <c r="AA10" i="4" s="1"/>
  <c r="Q8" i="4"/>
  <c r="Q10" i="4" s="1"/>
  <c r="Q36" i="2" s="1"/>
  <c r="O8" i="4"/>
  <c r="O10" i="4" s="1"/>
  <c r="O36" i="2" s="1"/>
  <c r="N8" i="4"/>
  <c r="N10" i="4" s="1"/>
  <c r="N36" i="2" s="1"/>
  <c r="U8" i="4"/>
  <c r="U10" i="4" s="1"/>
  <c r="S8" i="4"/>
  <c r="S10" i="4" s="1"/>
  <c r="C9" i="4"/>
  <c r="X8" i="4"/>
  <c r="X10" i="4" s="1"/>
  <c r="W8" i="4"/>
  <c r="W10" i="4" s="1"/>
  <c r="F8" i="4"/>
  <c r="J8" i="4"/>
  <c r="J10" i="4" s="1"/>
  <c r="J36" i="2" s="1"/>
  <c r="H8" i="4"/>
  <c r="G8" i="4"/>
  <c r="K8" i="4"/>
  <c r="K10" i="4" s="1"/>
  <c r="K36" i="2" s="1"/>
  <c r="D8" i="4"/>
  <c r="Y8" i="4"/>
  <c r="Y10" i="4" s="1"/>
  <c r="I8" i="4"/>
  <c r="I10" i="4" s="1"/>
  <c r="I36" i="2" s="1"/>
  <c r="K98" i="2"/>
  <c r="C8" i="4"/>
  <c r="D72" i="2"/>
  <c r="D109" i="2"/>
  <c r="K72" i="2"/>
  <c r="K109" i="2"/>
  <c r="P72" i="2"/>
  <c r="P120" i="2" s="1"/>
  <c r="P109" i="2"/>
  <c r="S69" i="6"/>
  <c r="S16" i="6" s="1"/>
  <c r="P69" i="6"/>
  <c r="P16" i="6" s="1"/>
  <c r="M69" i="6"/>
  <c r="M16" i="6" s="1"/>
  <c r="J69" i="6"/>
  <c r="J16" i="6" s="1"/>
  <c r="M120" i="2"/>
  <c r="Q4" i="6"/>
  <c r="Q10" i="6" s="1"/>
  <c r="Q79" i="2"/>
  <c r="Q80" i="2" s="1"/>
  <c r="Q5" i="10"/>
  <c r="Q43" i="2" s="1"/>
  <c r="Q29" i="5"/>
  <c r="Q87" i="2"/>
  <c r="Q16" i="7"/>
  <c r="AA4" i="6"/>
  <c r="AA10" i="6" s="1"/>
  <c r="AA87" i="2"/>
  <c r="AA79" i="2"/>
  <c r="AA29" i="5"/>
  <c r="AA83" i="2"/>
  <c r="AA113" i="2"/>
  <c r="AA110" i="2"/>
  <c r="AA105" i="2"/>
  <c r="AA102" i="2"/>
  <c r="AA84" i="2"/>
  <c r="AA99" i="2"/>
  <c r="AA100" i="2"/>
  <c r="AA91" i="2"/>
  <c r="AA88" i="2"/>
  <c r="AA111" i="2"/>
  <c r="AA97" i="2"/>
  <c r="AA89" i="2"/>
  <c r="AA106" i="2"/>
  <c r="AA94" i="2"/>
  <c r="AA86" i="2"/>
  <c r="AA101" i="2"/>
  <c r="AA112" i="2"/>
  <c r="AA107" i="2"/>
  <c r="AA90" i="2"/>
  <c r="AA95" i="2"/>
  <c r="AA85" i="2"/>
  <c r="AA108" i="2"/>
  <c r="AA109" i="2"/>
  <c r="AA16" i="7"/>
  <c r="AA98" i="2"/>
  <c r="AA96" i="2"/>
  <c r="Z4" i="6"/>
  <c r="Z10" i="6" s="1"/>
  <c r="Z83" i="2"/>
  <c r="Z29" i="5"/>
  <c r="Z94" i="2"/>
  <c r="Z98" i="2"/>
  <c r="Z109" i="2"/>
  <c r="Z87" i="2"/>
  <c r="Z113" i="2"/>
  <c r="Z91" i="2"/>
  <c r="Z95" i="2"/>
  <c r="Z102" i="2"/>
  <c r="Z84" i="2"/>
  <c r="Z99" i="2"/>
  <c r="Z100" i="2"/>
  <c r="Z88" i="2"/>
  <c r="Z110" i="2"/>
  <c r="Z86" i="2"/>
  <c r="Z79" i="2"/>
  <c r="Z111" i="2"/>
  <c r="Z89" i="2"/>
  <c r="Z112" i="2"/>
  <c r="Z85" i="2"/>
  <c r="Z96" i="2"/>
  <c r="Z107" i="2"/>
  <c r="Z101" i="2"/>
  <c r="Z105" i="2"/>
  <c r="Z90" i="2"/>
  <c r="Z106" i="2"/>
  <c r="Z16" i="7"/>
  <c r="Z108" i="2"/>
  <c r="Z97" i="2"/>
  <c r="AB4" i="6"/>
  <c r="AB10" i="6" s="1"/>
  <c r="AB29" i="5"/>
  <c r="AB94" i="2"/>
  <c r="AB83" i="2"/>
  <c r="AB87" i="2"/>
  <c r="AB98" i="2"/>
  <c r="AB79" i="2"/>
  <c r="AB102" i="2"/>
  <c r="AB5" i="10"/>
  <c r="AB95" i="2"/>
  <c r="AB100" i="2"/>
  <c r="AB105" i="2"/>
  <c r="AB84" i="2"/>
  <c r="AB91" i="2"/>
  <c r="AB113" i="2"/>
  <c r="AB106" i="2"/>
  <c r="AB86" i="2"/>
  <c r="AB90" i="2"/>
  <c r="AB112" i="2"/>
  <c r="AB89" i="2"/>
  <c r="AB88" i="2"/>
  <c r="AB108" i="2"/>
  <c r="AB107" i="2"/>
  <c r="AB109" i="2"/>
  <c r="AB85" i="2"/>
  <c r="AB111" i="2"/>
  <c r="AB96" i="2"/>
  <c r="AB101" i="2"/>
  <c r="AB110" i="2"/>
  <c r="AB97" i="2"/>
  <c r="AB16" i="7"/>
  <c r="AB99" i="2"/>
  <c r="J98" i="2"/>
  <c r="N87" i="2"/>
  <c r="K4" i="6"/>
  <c r="K10" i="6" s="1"/>
  <c r="K79" i="2"/>
  <c r="K80" i="2" s="1"/>
  <c r="K29" i="5"/>
  <c r="K94" i="2"/>
  <c r="K83" i="2"/>
  <c r="K16" i="7"/>
  <c r="B10" i="15"/>
  <c r="C30" i="15"/>
  <c r="G30" i="15"/>
  <c r="I30" i="15"/>
  <c r="K30" i="15"/>
  <c r="D30" i="15"/>
  <c r="F30" i="15"/>
  <c r="H30" i="15"/>
  <c r="E30" i="15"/>
  <c r="J30" i="15"/>
  <c r="L30" i="15"/>
  <c r="AB12" i="15"/>
  <c r="AA12" i="15"/>
  <c r="U13" i="15"/>
  <c r="P12" i="15"/>
  <c r="T13" i="15"/>
  <c r="G12" i="15"/>
  <c r="R13" i="15"/>
  <c r="D12" i="15"/>
  <c r="I13" i="15"/>
  <c r="Z12" i="15"/>
  <c r="AE13" i="15"/>
  <c r="AD13" i="15"/>
  <c r="F12" i="15"/>
  <c r="R12" i="15"/>
  <c r="AD12" i="15"/>
  <c r="Q12" i="15"/>
  <c r="E12" i="15"/>
  <c r="X13" i="15"/>
  <c r="V13" i="15"/>
  <c r="M13" i="15"/>
  <c r="AF13" i="15"/>
  <c r="AE12" i="15"/>
  <c r="Y13" i="15"/>
  <c r="AC30" i="15"/>
  <c r="N13" i="15"/>
  <c r="E13" i="15"/>
  <c r="AC12" i="15"/>
  <c r="Q13" i="15"/>
  <c r="V12" i="15"/>
  <c r="R30" i="15"/>
  <c r="AA30" i="15"/>
  <c r="Z30" i="15"/>
  <c r="AE30" i="15"/>
  <c r="W13" i="15"/>
  <c r="S12" i="15"/>
  <c r="I12" i="15"/>
  <c r="L13" i="15"/>
  <c r="H13" i="15"/>
  <c r="C12" i="15"/>
  <c r="U30" i="15"/>
  <c r="O13" i="15"/>
  <c r="K12" i="15"/>
  <c r="AF12" i="15"/>
  <c r="D13" i="15"/>
  <c r="AA13" i="15"/>
  <c r="C13" i="15"/>
  <c r="AF30" i="15"/>
  <c r="L12" i="15"/>
  <c r="AC13" i="15"/>
  <c r="O12" i="15"/>
  <c r="X12" i="15"/>
  <c r="W12" i="15"/>
  <c r="B12" i="15"/>
  <c r="M30" i="15"/>
  <c r="Q30" i="15"/>
  <c r="Z13" i="15"/>
  <c r="U12" i="15"/>
  <c r="N30" i="15"/>
  <c r="T30" i="15"/>
  <c r="J13" i="15"/>
  <c r="G13" i="15"/>
  <c r="AB13" i="15"/>
  <c r="P30" i="15"/>
  <c r="O30" i="15"/>
  <c r="T12" i="15"/>
  <c r="Y12" i="15"/>
  <c r="B13" i="15"/>
  <c r="F13" i="15"/>
  <c r="K13" i="15"/>
  <c r="W30" i="15"/>
  <c r="X30" i="15"/>
  <c r="B11" i="15"/>
  <c r="P13" i="15"/>
  <c r="N12" i="15"/>
  <c r="V30" i="15"/>
  <c r="AD30" i="15"/>
  <c r="B9" i="15"/>
  <c r="C9" i="15" s="1"/>
  <c r="D9" i="15" s="1"/>
  <c r="E9" i="15" s="1"/>
  <c r="F9" i="15" s="1"/>
  <c r="G9" i="15" s="1"/>
  <c r="H9" i="15" s="1"/>
  <c r="I9" i="15" s="1"/>
  <c r="J9" i="15" s="1"/>
  <c r="K9" i="15" s="1"/>
  <c r="L9" i="15" s="1"/>
  <c r="M9" i="15" s="1"/>
  <c r="N9" i="15" s="1"/>
  <c r="O9" i="15" s="1"/>
  <c r="P9" i="15" s="1"/>
  <c r="Q9" i="15" s="1"/>
  <c r="R9" i="15" s="1"/>
  <c r="S9" i="15" s="1"/>
  <c r="T9" i="15" s="1"/>
  <c r="U9" i="15" s="1"/>
  <c r="V9" i="15" s="1"/>
  <c r="W9" i="15" s="1"/>
  <c r="X9" i="15" s="1"/>
  <c r="Y9" i="15" s="1"/>
  <c r="Z9" i="15" s="1"/>
  <c r="AA9" i="15" s="1"/>
  <c r="AB9" i="15" s="1"/>
  <c r="AC9" i="15" s="1"/>
  <c r="AD9" i="15" s="1"/>
  <c r="AE9" i="15" s="1"/>
  <c r="AF9" i="15" s="1"/>
  <c r="AB30" i="15"/>
  <c r="M12" i="15"/>
  <c r="J12" i="15"/>
  <c r="S30" i="15"/>
  <c r="S13" i="15"/>
  <c r="Y30" i="15"/>
  <c r="H12" i="15"/>
  <c r="P1" i="15"/>
  <c r="G1" i="7" s="1"/>
  <c r="C6" i="7" s="1"/>
  <c r="N72" i="2"/>
  <c r="N120" i="2" s="1"/>
  <c r="N109" i="2"/>
  <c r="W69" i="6"/>
  <c r="W16" i="6" s="1"/>
  <c r="T69" i="6"/>
  <c r="T16" i="6" s="1"/>
  <c r="Q69" i="6"/>
  <c r="Q16" i="6" s="1"/>
  <c r="N69" i="6"/>
  <c r="N16" i="6" s="1"/>
  <c r="U4" i="6"/>
  <c r="U10" i="6" s="1"/>
  <c r="U83" i="2"/>
  <c r="U98" i="2"/>
  <c r="U94" i="2"/>
  <c r="U87" i="2"/>
  <c r="U29" i="5"/>
  <c r="U91" i="2"/>
  <c r="U79" i="2"/>
  <c r="U102" i="2"/>
  <c r="U99" i="2"/>
  <c r="U109" i="2"/>
  <c r="U88" i="2"/>
  <c r="U110" i="2"/>
  <c r="U113" i="2"/>
  <c r="U95" i="2"/>
  <c r="U89" i="2"/>
  <c r="U105" i="2"/>
  <c r="U106" i="2"/>
  <c r="U84" i="2"/>
  <c r="U112" i="2"/>
  <c r="U101" i="2"/>
  <c r="U90" i="2"/>
  <c r="U86" i="2"/>
  <c r="U107" i="2"/>
  <c r="U108" i="2"/>
  <c r="U96" i="2"/>
  <c r="U85" i="2"/>
  <c r="U100" i="2"/>
  <c r="U16" i="7"/>
  <c r="U97" i="2"/>
  <c r="U111" i="2"/>
  <c r="W4" i="6"/>
  <c r="W10" i="6" s="1"/>
  <c r="W94" i="2"/>
  <c r="W98" i="2"/>
  <c r="W29" i="5"/>
  <c r="W87" i="2"/>
  <c r="W79" i="2"/>
  <c r="W83" i="2"/>
  <c r="W109" i="2"/>
  <c r="W100" i="2"/>
  <c r="W89" i="2"/>
  <c r="W111" i="2"/>
  <c r="W91" i="2"/>
  <c r="W95" i="2"/>
  <c r="W88" i="2"/>
  <c r="W84" i="2"/>
  <c r="W105" i="2"/>
  <c r="W99" i="2"/>
  <c r="W106" i="2"/>
  <c r="W90" i="2"/>
  <c r="W86" i="2"/>
  <c r="W97" i="2"/>
  <c r="W112" i="2"/>
  <c r="W108" i="2"/>
  <c r="W107" i="2"/>
  <c r="W96" i="2"/>
  <c r="W85" i="2"/>
  <c r="W101" i="2"/>
  <c r="W110" i="2"/>
  <c r="W16" i="7"/>
  <c r="W102" i="2"/>
  <c r="W113" i="2"/>
  <c r="V4" i="6"/>
  <c r="V10" i="6" s="1"/>
  <c r="V87" i="2"/>
  <c r="V91" i="2"/>
  <c r="V109" i="2"/>
  <c r="V113" i="2"/>
  <c r="V79" i="2"/>
  <c r="V95" i="2"/>
  <c r="V99" i="2"/>
  <c r="V29" i="5"/>
  <c r="V84" i="2"/>
  <c r="V88" i="2"/>
  <c r="V83" i="2"/>
  <c r="V111" i="2"/>
  <c r="V89" i="2"/>
  <c r="V86" i="2"/>
  <c r="V94" i="2"/>
  <c r="V105" i="2"/>
  <c r="V108" i="2"/>
  <c r="V110" i="2"/>
  <c r="V106" i="2"/>
  <c r="V90" i="2"/>
  <c r="V102" i="2"/>
  <c r="V97" i="2"/>
  <c r="V96" i="2"/>
  <c r="V100" i="2"/>
  <c r="V85" i="2"/>
  <c r="V107" i="2"/>
  <c r="V16" i="7"/>
  <c r="V101" i="2"/>
  <c r="V112" i="2"/>
  <c r="V98" i="2"/>
  <c r="X4" i="6"/>
  <c r="X10" i="6" s="1"/>
  <c r="X83" i="2"/>
  <c r="X87" i="2"/>
  <c r="X29" i="5"/>
  <c r="X98" i="2"/>
  <c r="X79" i="2"/>
  <c r="X109" i="2"/>
  <c r="X91" i="2"/>
  <c r="X102" i="2"/>
  <c r="X94" i="2"/>
  <c r="X89" i="2"/>
  <c r="X99" i="2"/>
  <c r="X111" i="2"/>
  <c r="X113" i="2"/>
  <c r="X84" i="2"/>
  <c r="X88" i="2"/>
  <c r="X110" i="2"/>
  <c r="X97" i="2"/>
  <c r="X108" i="2"/>
  <c r="X85" i="2"/>
  <c r="X96" i="2"/>
  <c r="X100" i="2"/>
  <c r="X105" i="2"/>
  <c r="X86" i="2"/>
  <c r="X101" i="2"/>
  <c r="X112" i="2"/>
  <c r="X107" i="2"/>
  <c r="X90" i="2"/>
  <c r="X16" i="7"/>
  <c r="X106" i="2"/>
  <c r="X95" i="2"/>
  <c r="J72" i="2"/>
  <c r="J109" i="2"/>
  <c r="I4" i="6"/>
  <c r="I10" i="6" s="1"/>
  <c r="I79" i="2"/>
  <c r="I80" i="2" s="1"/>
  <c r="I120" i="2" s="1"/>
  <c r="I29" i="5"/>
  <c r="I83" i="2"/>
  <c r="I94" i="2"/>
  <c r="I87" i="2"/>
  <c r="I16" i="7"/>
  <c r="N98" i="2"/>
  <c r="H72" i="2"/>
  <c r="H109" i="2"/>
  <c r="Y83" i="2"/>
  <c r="AA69" i="6"/>
  <c r="AA16" i="6" s="1"/>
  <c r="X69" i="6"/>
  <c r="X16" i="6" s="1"/>
  <c r="U69" i="6"/>
  <c r="U16" i="6" s="1"/>
  <c r="AC4" i="6"/>
  <c r="AC10" i="6" s="1"/>
  <c r="AC29" i="5"/>
  <c r="AC98" i="2"/>
  <c r="AC94" i="2"/>
  <c r="AC83" i="2"/>
  <c r="AC87" i="2"/>
  <c r="AC102" i="2"/>
  <c r="AC109" i="2"/>
  <c r="AC105" i="2"/>
  <c r="AC106" i="2"/>
  <c r="AC79" i="2"/>
  <c r="AC84" i="2"/>
  <c r="AC89" i="2"/>
  <c r="AC110" i="2"/>
  <c r="AC113" i="2"/>
  <c r="AC95" i="2"/>
  <c r="AC5" i="10"/>
  <c r="AC91" i="2"/>
  <c r="AC99" i="2"/>
  <c r="AC88" i="2"/>
  <c r="AC97" i="2"/>
  <c r="AC101" i="2"/>
  <c r="AC86" i="2"/>
  <c r="AC90" i="2"/>
  <c r="AC112" i="2"/>
  <c r="AC108" i="2"/>
  <c r="AC96" i="2"/>
  <c r="AC107" i="2"/>
  <c r="AC85" i="2"/>
  <c r="AC100" i="2"/>
  <c r="AC111" i="2"/>
  <c r="AC16" i="7"/>
  <c r="S4" i="6"/>
  <c r="S10" i="6" s="1"/>
  <c r="S29" i="5"/>
  <c r="S5" i="10"/>
  <c r="S87" i="2"/>
  <c r="S79" i="2"/>
  <c r="S84" i="2"/>
  <c r="S89" i="2"/>
  <c r="S102" i="2"/>
  <c r="S110" i="2"/>
  <c r="S106" i="2"/>
  <c r="S105" i="2"/>
  <c r="S111" i="2"/>
  <c r="S100" i="2"/>
  <c r="S99" i="2"/>
  <c r="S95" i="2"/>
  <c r="S88" i="2"/>
  <c r="S90" i="2"/>
  <c r="S113" i="2"/>
  <c r="S85" i="2"/>
  <c r="S112" i="2"/>
  <c r="S91" i="2"/>
  <c r="S83" i="2"/>
  <c r="S96" i="2"/>
  <c r="S86" i="2"/>
  <c r="S97" i="2"/>
  <c r="S108" i="2"/>
  <c r="S107" i="2"/>
  <c r="S101" i="2"/>
  <c r="S94" i="2"/>
  <c r="S109" i="2"/>
  <c r="S98" i="2"/>
  <c r="S16" i="7"/>
  <c r="R4" i="6"/>
  <c r="R10" i="6" s="1"/>
  <c r="R87" i="2"/>
  <c r="R98" i="2"/>
  <c r="R29" i="5"/>
  <c r="R102" i="2"/>
  <c r="R109" i="2"/>
  <c r="R99" i="2"/>
  <c r="R110" i="2"/>
  <c r="R79" i="2"/>
  <c r="R88" i="2"/>
  <c r="R106" i="2"/>
  <c r="R84" i="2"/>
  <c r="R111" i="2"/>
  <c r="R91" i="2"/>
  <c r="R95" i="2"/>
  <c r="R105" i="2"/>
  <c r="R86" i="2"/>
  <c r="R100" i="2"/>
  <c r="R89" i="2"/>
  <c r="R96" i="2"/>
  <c r="R85" i="2"/>
  <c r="R101" i="2"/>
  <c r="R107" i="2"/>
  <c r="R90" i="2"/>
  <c r="R112" i="2"/>
  <c r="R113" i="2"/>
  <c r="R16" i="7"/>
  <c r="R108" i="2"/>
  <c r="R97" i="2"/>
  <c r="T4" i="6"/>
  <c r="T10" i="6" s="1"/>
  <c r="T29" i="5"/>
  <c r="T87" i="2"/>
  <c r="T83" i="2"/>
  <c r="T91" i="2"/>
  <c r="T98" i="2"/>
  <c r="T79" i="2"/>
  <c r="T111" i="2"/>
  <c r="T89" i="2"/>
  <c r="T109" i="2"/>
  <c r="T84" i="2"/>
  <c r="T88" i="2"/>
  <c r="T86" i="2"/>
  <c r="T108" i="2"/>
  <c r="T102" i="2"/>
  <c r="T106" i="2"/>
  <c r="T113" i="2"/>
  <c r="T112" i="2"/>
  <c r="T95" i="2"/>
  <c r="T97" i="2"/>
  <c r="T94" i="2"/>
  <c r="T96" i="2"/>
  <c r="T100" i="2"/>
  <c r="T105" i="2"/>
  <c r="T85" i="2"/>
  <c r="T107" i="2"/>
  <c r="T101" i="2"/>
  <c r="T90" i="2"/>
  <c r="T16" i="7"/>
  <c r="T110" i="2"/>
  <c r="T99" i="2"/>
  <c r="Q120" i="2"/>
  <c r="J120" i="2" l="1"/>
  <c r="C4" i="7"/>
  <c r="C39" i="2" s="1"/>
  <c r="C61" i="2" s="1"/>
  <c r="D120" i="2"/>
  <c r="T11" i="6"/>
  <c r="N11" i="6"/>
  <c r="F120" i="2"/>
  <c r="V11" i="6"/>
  <c r="K11" i="6"/>
  <c r="M11" i="6"/>
  <c r="H120" i="2"/>
  <c r="L11" i="6"/>
  <c r="U11" i="6"/>
  <c r="Z11" i="6"/>
  <c r="W11" i="6"/>
  <c r="R11" i="6"/>
  <c r="Q11" i="6"/>
  <c r="AA11" i="6"/>
  <c r="X11" i="6"/>
  <c r="Y11" i="6"/>
  <c r="AG4" i="6"/>
  <c r="AG5" i="6" s="1"/>
  <c r="AF10" i="6"/>
  <c r="AD11" i="6" s="1"/>
  <c r="O11" i="6"/>
  <c r="I11" i="6"/>
  <c r="D11" i="6"/>
  <c r="E11" i="6"/>
  <c r="C11" i="6"/>
  <c r="H11" i="6"/>
  <c r="P11" i="6"/>
  <c r="S11" i="6"/>
  <c r="K120" i="2"/>
  <c r="F11" i="6"/>
  <c r="J11" i="6"/>
  <c r="AB11" i="6"/>
  <c r="AC11" i="6"/>
  <c r="G11" i="6"/>
  <c r="J54" i="2"/>
  <c r="J102" i="2" s="1"/>
  <c r="J65" i="2"/>
  <c r="J91" i="2"/>
  <c r="L65" i="2"/>
  <c r="L54" i="2"/>
  <c r="L102" i="2" s="1"/>
  <c r="L91" i="2"/>
  <c r="N65" i="2"/>
  <c r="N54" i="2"/>
  <c r="N102" i="2" s="1"/>
  <c r="N91" i="2"/>
  <c r="C87" i="2"/>
  <c r="AH39" i="2"/>
  <c r="D10" i="15"/>
  <c r="H10" i="15"/>
  <c r="L10" i="15"/>
  <c r="M10" i="15"/>
  <c r="Q10" i="15"/>
  <c r="C10" i="15"/>
  <c r="E10" i="15"/>
  <c r="I10" i="15"/>
  <c r="N10" i="15"/>
  <c r="O10" i="15"/>
  <c r="G10" i="15"/>
  <c r="F10" i="15"/>
  <c r="P10" i="15"/>
  <c r="J10" i="15"/>
  <c r="K10" i="15"/>
  <c r="AC10" i="15"/>
  <c r="AB10" i="15"/>
  <c r="V10" i="15"/>
  <c r="T10" i="15"/>
  <c r="Y10" i="15"/>
  <c r="S10" i="15"/>
  <c r="AF10" i="15"/>
  <c r="AA10" i="15"/>
  <c r="U10" i="15"/>
  <c r="W10" i="15"/>
  <c r="AE10" i="15"/>
  <c r="Z10" i="15"/>
  <c r="X10" i="15"/>
  <c r="AD10" i="15"/>
  <c r="R10" i="15"/>
  <c r="K65" i="2"/>
  <c r="K54" i="2"/>
  <c r="K102" i="2" s="1"/>
  <c r="K91" i="2"/>
  <c r="J58" i="2"/>
  <c r="J47" i="2"/>
  <c r="J95" i="2" s="1"/>
  <c r="J84" i="2"/>
  <c r="O58" i="2"/>
  <c r="O47" i="2"/>
  <c r="O95" i="2" s="1"/>
  <c r="O84" i="2"/>
  <c r="L58" i="2"/>
  <c r="L47" i="2"/>
  <c r="L95" i="2" s="1"/>
  <c r="L84" i="2"/>
  <c r="D65" i="2"/>
  <c r="D54" i="2"/>
  <c r="D102" i="2" s="1"/>
  <c r="D91" i="2"/>
  <c r="O72" i="15"/>
  <c r="O74" i="15"/>
  <c r="O73" i="15"/>
  <c r="O76" i="15"/>
  <c r="O71" i="15"/>
  <c r="O75" i="15"/>
  <c r="O70" i="15"/>
  <c r="W71" i="15"/>
  <c r="W72" i="15"/>
  <c r="W70" i="15"/>
  <c r="W73" i="15"/>
  <c r="W75" i="15"/>
  <c r="W76" i="15"/>
  <c r="W74" i="15"/>
  <c r="V71" i="15"/>
  <c r="V70" i="15"/>
  <c r="V74" i="15"/>
  <c r="V72" i="15"/>
  <c r="V75" i="15"/>
  <c r="V73" i="15"/>
  <c r="V76" i="15"/>
  <c r="F75" i="15"/>
  <c r="F72" i="15"/>
  <c r="F76" i="15"/>
  <c r="F71" i="15"/>
  <c r="F73" i="15"/>
  <c r="F74" i="15"/>
  <c r="F70" i="15"/>
  <c r="C65" i="2"/>
  <c r="C54" i="2"/>
  <c r="AH43" i="2"/>
  <c r="C91" i="2"/>
  <c r="O65" i="2"/>
  <c r="O54" i="2"/>
  <c r="O102" i="2" s="1"/>
  <c r="O91" i="2"/>
  <c r="Q58" i="2"/>
  <c r="Q47" i="2"/>
  <c r="Q95" i="2" s="1"/>
  <c r="Q84" i="2"/>
  <c r="N73" i="15"/>
  <c r="N71" i="15"/>
  <c r="N74" i="15"/>
  <c r="N76" i="15"/>
  <c r="N75" i="15"/>
  <c r="N70" i="15"/>
  <c r="N72" i="15"/>
  <c r="U75" i="15"/>
  <c r="U71" i="15"/>
  <c r="U74" i="15"/>
  <c r="U73" i="15"/>
  <c r="U72" i="15"/>
  <c r="U76" i="15"/>
  <c r="U70" i="15"/>
  <c r="I75" i="15"/>
  <c r="I71" i="15"/>
  <c r="I76" i="15"/>
  <c r="I74" i="15"/>
  <c r="I73" i="15"/>
  <c r="I72" i="15"/>
  <c r="I70" i="15"/>
  <c r="I65" i="2"/>
  <c r="I54" i="2"/>
  <c r="I102" i="2" s="1"/>
  <c r="I91" i="2"/>
  <c r="Q65" i="2"/>
  <c r="Q54" i="2"/>
  <c r="Q102" i="2" s="1"/>
  <c r="Q91" i="2"/>
  <c r="I47" i="2"/>
  <c r="I95" i="2" s="1"/>
  <c r="I58" i="2"/>
  <c r="I84" i="2"/>
  <c r="L120" i="2"/>
  <c r="AF70" i="15"/>
  <c r="AF75" i="15"/>
  <c r="AF76" i="15"/>
  <c r="AF74" i="15"/>
  <c r="AF71" i="15"/>
  <c r="AF73" i="15"/>
  <c r="AF72" i="15"/>
  <c r="AA72" i="15"/>
  <c r="AA75" i="15"/>
  <c r="AA70" i="15"/>
  <c r="AA76" i="15"/>
  <c r="AA73" i="15"/>
  <c r="AA71" i="15"/>
  <c r="AA74" i="15"/>
  <c r="E72" i="15"/>
  <c r="E74" i="15"/>
  <c r="E73" i="15"/>
  <c r="E76" i="15"/>
  <c r="E75" i="15"/>
  <c r="E71" i="15"/>
  <c r="E70" i="15"/>
  <c r="R75" i="15"/>
  <c r="R70" i="15"/>
  <c r="R76" i="15"/>
  <c r="R72" i="15"/>
  <c r="R74" i="15"/>
  <c r="R73" i="15"/>
  <c r="R71" i="15"/>
  <c r="AB70" i="15"/>
  <c r="AB72" i="15"/>
  <c r="AB73" i="15"/>
  <c r="AB74" i="15"/>
  <c r="AB76" i="15"/>
  <c r="AB75" i="15"/>
  <c r="AB71" i="15"/>
  <c r="Y70" i="15"/>
  <c r="Y72" i="15"/>
  <c r="Y75" i="15"/>
  <c r="Y76" i="15"/>
  <c r="Y74" i="15"/>
  <c r="Y71" i="15"/>
  <c r="Y73" i="15"/>
  <c r="L75" i="15"/>
  <c r="L71" i="15"/>
  <c r="L74" i="15"/>
  <c r="L72" i="15"/>
  <c r="L76" i="15"/>
  <c r="L73" i="15"/>
  <c r="L70" i="15"/>
  <c r="D9" i="4"/>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F7" i="4"/>
  <c r="E7" i="4"/>
  <c r="H7" i="4"/>
  <c r="D7" i="4"/>
  <c r="G7" i="4"/>
  <c r="C30" i="4"/>
  <c r="C7" i="4"/>
  <c r="AC76" i="15"/>
  <c r="AC72" i="15"/>
  <c r="AC71" i="15"/>
  <c r="AC73" i="15"/>
  <c r="AC75" i="15"/>
  <c r="AC70" i="15"/>
  <c r="AC74" i="15"/>
  <c r="AC89" i="15" s="1"/>
  <c r="Z72" i="15"/>
  <c r="Z71" i="15"/>
  <c r="Z76" i="15"/>
  <c r="Z70" i="15"/>
  <c r="Z85" i="15" s="1"/>
  <c r="Z74" i="15"/>
  <c r="Z73" i="15"/>
  <c r="Z75" i="15"/>
  <c r="G72" i="15"/>
  <c r="G76" i="15"/>
  <c r="G75" i="15"/>
  <c r="G73" i="15"/>
  <c r="G74" i="15"/>
  <c r="G71" i="15"/>
  <c r="G70" i="15"/>
  <c r="H76" i="15"/>
  <c r="H74" i="15"/>
  <c r="H71" i="15"/>
  <c r="H72" i="15"/>
  <c r="H73" i="15"/>
  <c r="H88" i="15" s="1"/>
  <c r="H75" i="15"/>
  <c r="H70" i="15"/>
  <c r="H65" i="2"/>
  <c r="H54" i="2"/>
  <c r="H102" i="2" s="1"/>
  <c r="H91" i="2"/>
  <c r="K47" i="2"/>
  <c r="K95" i="2" s="1"/>
  <c r="K58" i="2"/>
  <c r="K84" i="2"/>
  <c r="T76" i="15"/>
  <c r="T72" i="15"/>
  <c r="T75" i="15"/>
  <c r="T71" i="15"/>
  <c r="T73" i="15"/>
  <c r="T74" i="15"/>
  <c r="T70" i="15"/>
  <c r="X74" i="15"/>
  <c r="X73" i="15"/>
  <c r="X76" i="15"/>
  <c r="X71" i="15"/>
  <c r="X70" i="15"/>
  <c r="X72" i="15"/>
  <c r="X75" i="15"/>
  <c r="P76" i="15"/>
  <c r="P72" i="15"/>
  <c r="P70" i="15"/>
  <c r="P75" i="15"/>
  <c r="P73" i="15"/>
  <c r="P74" i="15"/>
  <c r="P71" i="15"/>
  <c r="C76" i="15"/>
  <c r="C91" i="15" s="1"/>
  <c r="C71" i="15"/>
  <c r="C86" i="15" s="1"/>
  <c r="C72" i="15"/>
  <c r="C75" i="15"/>
  <c r="C90" i="15" s="1"/>
  <c r="C74" i="15"/>
  <c r="C89" i="15" s="1"/>
  <c r="C73" i="15"/>
  <c r="C88" i="15" s="1"/>
  <c r="C70" i="15"/>
  <c r="C85" i="15" s="1"/>
  <c r="D74" i="15"/>
  <c r="D73" i="15"/>
  <c r="D76" i="15"/>
  <c r="D75" i="15"/>
  <c r="D71" i="15"/>
  <c r="D72" i="15"/>
  <c r="D70" i="15"/>
  <c r="D15" i="3"/>
  <c r="C4" i="3"/>
  <c r="C5" i="3" s="1"/>
  <c r="C6" i="3" s="1"/>
  <c r="C37" i="2" s="1"/>
  <c r="E65" i="2"/>
  <c r="E54" i="2"/>
  <c r="E102" i="2" s="1"/>
  <c r="E91" i="2"/>
  <c r="M58" i="2"/>
  <c r="M47" i="2"/>
  <c r="M95" i="2" s="1"/>
  <c r="M84" i="2"/>
  <c r="M70" i="15"/>
  <c r="M74" i="15"/>
  <c r="M73" i="15"/>
  <c r="M72" i="15"/>
  <c r="M75" i="15"/>
  <c r="M71" i="15"/>
  <c r="M76" i="15"/>
  <c r="AD76" i="15"/>
  <c r="AD75" i="15"/>
  <c r="AD71" i="15"/>
  <c r="AD73" i="15"/>
  <c r="AD70" i="15"/>
  <c r="AD74" i="15"/>
  <c r="AD72" i="15"/>
  <c r="J74" i="15"/>
  <c r="J76" i="15"/>
  <c r="J91" i="15" s="1"/>
  <c r="J72" i="15"/>
  <c r="J73" i="15"/>
  <c r="J75" i="15"/>
  <c r="J71" i="15"/>
  <c r="J70" i="15"/>
  <c r="AF5" i="6"/>
  <c r="AD5" i="6"/>
  <c r="AB5" i="6"/>
  <c r="Z5" i="6"/>
  <c r="X5" i="6"/>
  <c r="V5" i="6"/>
  <c r="T5" i="6"/>
  <c r="R5" i="6"/>
  <c r="P5" i="6"/>
  <c r="N5" i="6"/>
  <c r="L5" i="6"/>
  <c r="J5" i="6"/>
  <c r="H5" i="6"/>
  <c r="F5" i="6"/>
  <c r="D5" i="6"/>
  <c r="AE5" i="6"/>
  <c r="AC5" i="6"/>
  <c r="AA5" i="6"/>
  <c r="Y5" i="6"/>
  <c r="W5" i="6"/>
  <c r="U5" i="6"/>
  <c r="S5" i="6"/>
  <c r="Q5" i="6"/>
  <c r="O5" i="6"/>
  <c r="M5" i="6"/>
  <c r="K5" i="6"/>
  <c r="I5" i="6"/>
  <c r="G5" i="6"/>
  <c r="E5" i="6"/>
  <c r="C5" i="6"/>
  <c r="B5" i="6"/>
  <c r="G65" i="2"/>
  <c r="G54" i="2"/>
  <c r="G102" i="2" s="1"/>
  <c r="G91" i="2"/>
  <c r="N47" i="2"/>
  <c r="N95" i="2" s="1"/>
  <c r="N58" i="2"/>
  <c r="N84" i="2"/>
  <c r="P58" i="2"/>
  <c r="P47" i="2"/>
  <c r="P95" i="2" s="1"/>
  <c r="P84" i="2"/>
  <c r="S73" i="15"/>
  <c r="S74" i="15"/>
  <c r="S72" i="15"/>
  <c r="S71" i="15"/>
  <c r="S75" i="15"/>
  <c r="S70" i="15"/>
  <c r="S76" i="15"/>
  <c r="X127" i="2"/>
  <c r="AD127" i="2"/>
  <c r="AB127" i="2"/>
  <c r="Q127" i="2"/>
  <c r="Z127" i="2"/>
  <c r="F127" i="2"/>
  <c r="AA127" i="2"/>
  <c r="D127" i="2"/>
  <c r="AE127" i="2"/>
  <c r="AC127" i="2"/>
  <c r="S127" i="2"/>
  <c r="C127" i="2"/>
  <c r="N127" i="2"/>
  <c r="Y127" i="2"/>
  <c r="Q4" i="15"/>
  <c r="AF127" i="2"/>
  <c r="U127" i="2"/>
  <c r="I127" i="2"/>
  <c r="H127" i="2"/>
  <c r="E127" i="2"/>
  <c r="W127" i="2"/>
  <c r="T127" i="2"/>
  <c r="V127" i="2"/>
  <c r="R127" i="2"/>
  <c r="G127" i="2"/>
  <c r="M127" i="2"/>
  <c r="L127" i="2"/>
  <c r="K127" i="2"/>
  <c r="J127" i="2"/>
  <c r="P127" i="2"/>
  <c r="O127" i="2"/>
  <c r="AE72" i="15"/>
  <c r="AE75" i="15"/>
  <c r="AE74" i="15"/>
  <c r="AE70" i="15"/>
  <c r="AE76" i="15"/>
  <c r="AE71" i="15"/>
  <c r="AE73" i="15"/>
  <c r="K72" i="15"/>
  <c r="K75" i="15"/>
  <c r="K90" i="15" s="1"/>
  <c r="K76" i="15"/>
  <c r="K74" i="15"/>
  <c r="K71" i="15"/>
  <c r="K73" i="15"/>
  <c r="K70" i="15"/>
  <c r="M65" i="2"/>
  <c r="M54" i="2"/>
  <c r="M102" i="2" s="1"/>
  <c r="M91" i="2"/>
  <c r="P65" i="2"/>
  <c r="P54" i="2"/>
  <c r="P102" i="2" s="1"/>
  <c r="P91" i="2"/>
  <c r="F65" i="2"/>
  <c r="F54" i="2"/>
  <c r="F102" i="2" s="1"/>
  <c r="F91" i="2"/>
  <c r="A11" i="10"/>
  <c r="A14" i="10" s="1"/>
  <c r="C50" i="2" l="1"/>
  <c r="X86" i="15"/>
  <c r="S86" i="15"/>
  <c r="AE88" i="15"/>
  <c r="Z88" i="15"/>
  <c r="S89" i="15"/>
  <c r="P90" i="15"/>
  <c r="AD91" i="15"/>
  <c r="AC90" i="15"/>
  <c r="S88" i="15"/>
  <c r="AD86" i="15"/>
  <c r="AA29" i="15"/>
  <c r="AA30" i="5" s="1"/>
  <c r="AA31" i="5" s="1"/>
  <c r="AA26" i="5" s="1"/>
  <c r="AB91" i="15"/>
  <c r="X90" i="15"/>
  <c r="AE86" i="15"/>
  <c r="E29" i="15"/>
  <c r="E30" i="5" s="1"/>
  <c r="E31" i="5" s="1"/>
  <c r="E26" i="5" s="1"/>
  <c r="AF29" i="15"/>
  <c r="AF30" i="5" s="1"/>
  <c r="AF31" i="5" s="1"/>
  <c r="AF26" i="5" s="1"/>
  <c r="E89" i="15"/>
  <c r="X91" i="15"/>
  <c r="P29" i="15"/>
  <c r="P30" i="5" s="1"/>
  <c r="P31" i="5" s="1"/>
  <c r="P26" i="5" s="1"/>
  <c r="V86" i="15"/>
  <c r="AE90" i="15"/>
  <c r="AA89" i="15"/>
  <c r="S91" i="15"/>
  <c r="M90" i="15"/>
  <c r="X89" i="15"/>
  <c r="AC86" i="15"/>
  <c r="I85" i="15"/>
  <c r="S85" i="15"/>
  <c r="J86" i="15"/>
  <c r="I29" i="15"/>
  <c r="I30" i="5" s="1"/>
  <c r="I31" i="5" s="1"/>
  <c r="I26" i="5" s="1"/>
  <c r="U29" i="15"/>
  <c r="U30" i="5" s="1"/>
  <c r="U31" i="5" s="1"/>
  <c r="U26" i="5" s="1"/>
  <c r="G90" i="15"/>
  <c r="H86" i="15"/>
  <c r="G91" i="15"/>
  <c r="R29" i="15"/>
  <c r="R30" i="5" s="1"/>
  <c r="R31" i="5" s="1"/>
  <c r="R26" i="5" s="1"/>
  <c r="F86" i="15"/>
  <c r="O29" i="15"/>
  <c r="O30" i="5" s="1"/>
  <c r="O31" i="5" s="1"/>
  <c r="O26" i="5" s="1"/>
  <c r="J85" i="15"/>
  <c r="AD89" i="15"/>
  <c r="X29" i="15"/>
  <c r="X30" i="5" s="1"/>
  <c r="X31" i="5" s="1"/>
  <c r="X26" i="5" s="1"/>
  <c r="L29" i="15"/>
  <c r="L30" i="5" s="1"/>
  <c r="L31" i="5" s="1"/>
  <c r="L26" i="5" s="1"/>
  <c r="O85" i="15"/>
  <c r="AD85" i="15"/>
  <c r="P89" i="15"/>
  <c r="S29" i="15"/>
  <c r="S30" i="5" s="1"/>
  <c r="S31" i="5" s="1"/>
  <c r="S26" i="5" s="1"/>
  <c r="M88" i="15"/>
  <c r="D85" i="15"/>
  <c r="P88" i="15"/>
  <c r="T90" i="15"/>
  <c r="H90" i="15"/>
  <c r="G89" i="15"/>
  <c r="I89" i="15"/>
  <c r="M29" i="15"/>
  <c r="M30" i="5" s="1"/>
  <c r="M31" i="5" s="1"/>
  <c r="M26" i="5" s="1"/>
  <c r="X85" i="15"/>
  <c r="Z89" i="15"/>
  <c r="Y29" i="15"/>
  <c r="Y30" i="5" s="1"/>
  <c r="Y31" i="5" s="1"/>
  <c r="Y26" i="5" s="1"/>
  <c r="AE91" i="15"/>
  <c r="K86" i="15"/>
  <c r="AE85" i="15"/>
  <c r="J88" i="15"/>
  <c r="M89" i="15"/>
  <c r="T29" i="15"/>
  <c r="T30" i="5" s="1"/>
  <c r="T31" i="5" s="1"/>
  <c r="T26" i="5" s="1"/>
  <c r="G88" i="15"/>
  <c r="AC29" i="15"/>
  <c r="AC30" i="5" s="1"/>
  <c r="AC31" i="5" s="1"/>
  <c r="AC26" i="5" s="1"/>
  <c r="AB86" i="15"/>
  <c r="K89" i="15"/>
  <c r="D86" i="15"/>
  <c r="P85" i="15"/>
  <c r="X88" i="15"/>
  <c r="W90" i="15"/>
  <c r="D88" i="15"/>
  <c r="K87" i="15"/>
  <c r="K29" i="15"/>
  <c r="D89" i="15"/>
  <c r="P86" i="15"/>
  <c r="G87" i="15"/>
  <c r="G29" i="15"/>
  <c r="K91" i="15"/>
  <c r="AD87" i="15"/>
  <c r="AD29" i="15"/>
  <c r="AE87" i="15"/>
  <c r="AE29" i="15"/>
  <c r="S90" i="15"/>
  <c r="J90" i="15"/>
  <c r="AD88" i="15"/>
  <c r="AC85" i="15"/>
  <c r="Y91" i="15"/>
  <c r="AB88" i="15"/>
  <c r="V87" i="15"/>
  <c r="V29" i="15"/>
  <c r="W85" i="15"/>
  <c r="O89" i="15"/>
  <c r="AB87" i="15"/>
  <c r="AB29" i="15"/>
  <c r="N87" i="15"/>
  <c r="N29" i="15"/>
  <c r="W87" i="15"/>
  <c r="W29" i="15"/>
  <c r="AH4" i="6"/>
  <c r="AG10" i="6"/>
  <c r="J87" i="15"/>
  <c r="J29" i="15"/>
  <c r="D87" i="15"/>
  <c r="D29" i="15"/>
  <c r="F87" i="15"/>
  <c r="F29" i="15"/>
  <c r="C87" i="15"/>
  <c r="C29" i="15"/>
  <c r="H87" i="15"/>
  <c r="H29" i="15"/>
  <c r="T89" i="15"/>
  <c r="Z87" i="15"/>
  <c r="Z29" i="15"/>
  <c r="L85" i="15"/>
  <c r="Y86" i="15"/>
  <c r="E90" i="15"/>
  <c r="AA91" i="15"/>
  <c r="N86" i="15"/>
  <c r="F85" i="15"/>
  <c r="V88" i="15"/>
  <c r="O91" i="15"/>
  <c r="AF91" i="15"/>
  <c r="AG91" i="15"/>
  <c r="U89" i="15"/>
  <c r="AA132" i="2"/>
  <c r="I86" i="6"/>
  <c r="I7" i="6"/>
  <c r="I17" i="6"/>
  <c r="Y86" i="6"/>
  <c r="Y17" i="6"/>
  <c r="Y7" i="6"/>
  <c r="F86" i="6"/>
  <c r="F7" i="6"/>
  <c r="F17" i="6"/>
  <c r="V86" i="6"/>
  <c r="V17" i="6"/>
  <c r="V7" i="6"/>
  <c r="M87" i="15"/>
  <c r="C59" i="2"/>
  <c r="C48" i="2"/>
  <c r="C85" i="2"/>
  <c r="X87" i="15"/>
  <c r="T88" i="15"/>
  <c r="H89" i="15"/>
  <c r="L88" i="15"/>
  <c r="Y89" i="15"/>
  <c r="AB89" i="15"/>
  <c r="E91" i="15"/>
  <c r="AA85" i="15"/>
  <c r="AF90" i="15"/>
  <c r="AG90" i="15"/>
  <c r="I69" i="2"/>
  <c r="I117" i="2" s="1"/>
  <c r="I106" i="2"/>
  <c r="I91" i="15"/>
  <c r="U86" i="15"/>
  <c r="N88" i="15"/>
  <c r="O76" i="2"/>
  <c r="O124" i="2" s="1"/>
  <c r="O113" i="2"/>
  <c r="F89" i="15"/>
  <c r="V90" i="15"/>
  <c r="W88" i="15"/>
  <c r="O88" i="15"/>
  <c r="L69" i="2"/>
  <c r="L117" i="2" s="1"/>
  <c r="L106" i="2"/>
  <c r="N76" i="2"/>
  <c r="N124" i="2" s="1"/>
  <c r="N113" i="2"/>
  <c r="O132" i="2"/>
  <c r="V132" i="2"/>
  <c r="Q72" i="15"/>
  <c r="R87" i="15" s="1"/>
  <c r="Q76" i="15"/>
  <c r="Q91" i="15" s="1"/>
  <c r="Q74" i="15"/>
  <c r="Q89" i="15" s="1"/>
  <c r="Q75" i="15"/>
  <c r="Q90" i="15" s="1"/>
  <c r="Q70" i="15"/>
  <c r="Q85" i="15" s="1"/>
  <c r="Q73" i="15"/>
  <c r="Q88" i="15" s="1"/>
  <c r="Q71" i="15"/>
  <c r="Q86" i="15" s="1"/>
  <c r="M76" i="2"/>
  <c r="M124" i="2" s="1"/>
  <c r="M113" i="2"/>
  <c r="P132" i="2"/>
  <c r="T132" i="2"/>
  <c r="Y132" i="2"/>
  <c r="K86" i="6"/>
  <c r="K7" i="6"/>
  <c r="K17" i="6"/>
  <c r="AA86" i="6"/>
  <c r="AA7" i="6"/>
  <c r="AA17" i="6"/>
  <c r="H86" i="6"/>
  <c r="H17" i="6"/>
  <c r="H7" i="6"/>
  <c r="X86" i="6"/>
  <c r="X17" i="6"/>
  <c r="X7" i="6"/>
  <c r="E15" i="3"/>
  <c r="D4" i="3"/>
  <c r="D5" i="3" s="1"/>
  <c r="D6" i="3" s="1"/>
  <c r="D37" i="2" s="1"/>
  <c r="T86" i="15"/>
  <c r="H91" i="15"/>
  <c r="Z90" i="15"/>
  <c r="G35" i="2"/>
  <c r="G10" i="4"/>
  <c r="G36" i="2" s="1"/>
  <c r="L91" i="15"/>
  <c r="E88" i="15"/>
  <c r="AA90" i="15"/>
  <c r="AF85" i="15"/>
  <c r="AG85" i="15"/>
  <c r="I86" i="15"/>
  <c r="U90" i="15"/>
  <c r="F88" i="15"/>
  <c r="T86" i="6"/>
  <c r="T7" i="6"/>
  <c r="T17" i="6"/>
  <c r="N132" i="2"/>
  <c r="AC86" i="6"/>
  <c r="AC17" i="6"/>
  <c r="AC7" i="6"/>
  <c r="H76" i="2"/>
  <c r="H124" i="2" s="1"/>
  <c r="H113" i="2"/>
  <c r="G85" i="15"/>
  <c r="D10" i="4"/>
  <c r="D36" i="2" s="1"/>
  <c r="D35" i="2"/>
  <c r="L87" i="15"/>
  <c r="Y90" i="15"/>
  <c r="AA87" i="15"/>
  <c r="I90" i="15"/>
  <c r="V89" i="15"/>
  <c r="O87" i="15"/>
  <c r="AI39" i="2"/>
  <c r="AH87" i="2"/>
  <c r="W86" i="6"/>
  <c r="W7" i="6"/>
  <c r="W17" i="6"/>
  <c r="D86" i="6"/>
  <c r="D7" i="6"/>
  <c r="D17" i="6"/>
  <c r="E76" i="2"/>
  <c r="E124" i="2" s="1"/>
  <c r="E113" i="2"/>
  <c r="W132" i="2"/>
  <c r="Z132" i="2"/>
  <c r="P69" i="2"/>
  <c r="P117" i="2" s="1"/>
  <c r="P106" i="2"/>
  <c r="G76" i="2"/>
  <c r="G124" i="2" s="1"/>
  <c r="G113" i="2"/>
  <c r="M86" i="6"/>
  <c r="M7" i="6"/>
  <c r="M17" i="6"/>
  <c r="J86" i="6"/>
  <c r="J7" i="6"/>
  <c r="J17" i="6"/>
  <c r="Z86" i="6"/>
  <c r="Z17" i="6"/>
  <c r="Z7" i="6"/>
  <c r="F76" i="2"/>
  <c r="F124" i="2" s="1"/>
  <c r="F113" i="2"/>
  <c r="K88" i="15"/>
  <c r="K132" i="2"/>
  <c r="Q132" i="2"/>
  <c r="S87" i="15"/>
  <c r="O86" i="6"/>
  <c r="O7" i="6"/>
  <c r="O17" i="6"/>
  <c r="AE86" i="6"/>
  <c r="AE7" i="6"/>
  <c r="AE17" i="6"/>
  <c r="L86" i="6"/>
  <c r="L17" i="6"/>
  <c r="L7" i="6"/>
  <c r="AB86" i="6"/>
  <c r="AB7" i="6"/>
  <c r="AB17" i="6"/>
  <c r="AD90" i="15"/>
  <c r="M85" i="15"/>
  <c r="T87" i="15"/>
  <c r="H85" i="15"/>
  <c r="G86" i="15"/>
  <c r="AC88" i="15"/>
  <c r="H10" i="4"/>
  <c r="H36" i="2" s="1"/>
  <c r="H35" i="2"/>
  <c r="L89" i="15"/>
  <c r="Y87" i="15"/>
  <c r="AB85" i="15"/>
  <c r="E87" i="15"/>
  <c r="AF87" i="15"/>
  <c r="AG87" i="15"/>
  <c r="U85" i="15"/>
  <c r="N85" i="15"/>
  <c r="F91" i="15"/>
  <c r="V85" i="15"/>
  <c r="W86" i="15"/>
  <c r="O69" i="2"/>
  <c r="O117" i="2" s="1"/>
  <c r="O106" i="2"/>
  <c r="K76" i="2"/>
  <c r="K124" i="2" s="1"/>
  <c r="K113" i="2"/>
  <c r="L76" i="2"/>
  <c r="L124" i="2" s="1"/>
  <c r="L113" i="2"/>
  <c r="K85" i="15"/>
  <c r="L132" i="2"/>
  <c r="S132" i="2"/>
  <c r="AB132" i="2"/>
  <c r="N69" i="2"/>
  <c r="N117" i="2" s="1"/>
  <c r="N106" i="2"/>
  <c r="Q86" i="6"/>
  <c r="Q7" i="6"/>
  <c r="Q17" i="6"/>
  <c r="AG86" i="6"/>
  <c r="AG7" i="6"/>
  <c r="AG17" i="6"/>
  <c r="N86" i="6"/>
  <c r="N7" i="6"/>
  <c r="N17" i="6"/>
  <c r="AD86" i="6"/>
  <c r="AD17" i="6"/>
  <c r="AD7" i="6"/>
  <c r="T91" i="15"/>
  <c r="E10" i="4"/>
  <c r="E36" i="2" s="1"/>
  <c r="E35" i="2"/>
  <c r="L86" i="15"/>
  <c r="Y85" i="15"/>
  <c r="AG88" i="15"/>
  <c r="AF88" i="15"/>
  <c r="Q76" i="2"/>
  <c r="Q124" i="2" s="1"/>
  <c r="Q113" i="2"/>
  <c r="U91" i="15"/>
  <c r="N90" i="15"/>
  <c r="AI43" i="2"/>
  <c r="AH91" i="2"/>
  <c r="AH50" i="2"/>
  <c r="C98" i="2"/>
  <c r="G86" i="6"/>
  <c r="G7" i="6"/>
  <c r="G17" i="6"/>
  <c r="AE89" i="15"/>
  <c r="M132" i="2"/>
  <c r="AC132" i="2"/>
  <c r="AD132" i="2"/>
  <c r="C86" i="6"/>
  <c r="C85" i="6" s="1"/>
  <c r="C9" i="6" s="1"/>
  <c r="C7" i="6"/>
  <c r="C17" i="6"/>
  <c r="S86" i="6"/>
  <c r="S7" i="6"/>
  <c r="S17" i="6"/>
  <c r="P86" i="6"/>
  <c r="P17" i="6"/>
  <c r="P7" i="6"/>
  <c r="AF86" i="6"/>
  <c r="AF17" i="6"/>
  <c r="AF7" i="6"/>
  <c r="J89" i="15"/>
  <c r="M91" i="15"/>
  <c r="D90" i="15"/>
  <c r="P87" i="15"/>
  <c r="Z91" i="15"/>
  <c r="AC87" i="15"/>
  <c r="F35" i="2"/>
  <c r="F10" i="4"/>
  <c r="F36" i="2" s="1"/>
  <c r="L90" i="15"/>
  <c r="R88" i="15"/>
  <c r="E85" i="15"/>
  <c r="AA86" i="15"/>
  <c r="AF86" i="15"/>
  <c r="AG86" i="15"/>
  <c r="I76" i="2"/>
  <c r="I124" i="2" s="1"/>
  <c r="I113" i="2"/>
  <c r="I87" i="15"/>
  <c r="U87" i="15"/>
  <c r="N91" i="15"/>
  <c r="Q69" i="2"/>
  <c r="Q117" i="2" s="1"/>
  <c r="Q106" i="2"/>
  <c r="AH54" i="2"/>
  <c r="C102" i="2"/>
  <c r="F90" i="15"/>
  <c r="W89" i="15"/>
  <c r="O90" i="15"/>
  <c r="D76" i="2"/>
  <c r="D124" i="2" s="1"/>
  <c r="D113" i="2"/>
  <c r="C72" i="2"/>
  <c r="C109" i="2"/>
  <c r="D132" i="2" s="1"/>
  <c r="AH61" i="2"/>
  <c r="J76" i="2"/>
  <c r="J124" i="2" s="1"/>
  <c r="J113" i="2"/>
  <c r="R132" i="2"/>
  <c r="C10" i="4"/>
  <c r="C36" i="2" s="1"/>
  <c r="C35" i="2"/>
  <c r="P76" i="2"/>
  <c r="P124" i="2" s="1"/>
  <c r="P113" i="2"/>
  <c r="U132" i="2"/>
  <c r="X132" i="2"/>
  <c r="E86" i="6"/>
  <c r="E7" i="6"/>
  <c r="E17" i="6"/>
  <c r="U86" i="6"/>
  <c r="U17" i="6"/>
  <c r="U7" i="6"/>
  <c r="R86" i="6"/>
  <c r="R7" i="6"/>
  <c r="R17" i="6"/>
  <c r="M86" i="15"/>
  <c r="M69" i="2"/>
  <c r="M117" i="2" s="1"/>
  <c r="M106" i="2"/>
  <c r="D91" i="15"/>
  <c r="P91" i="15"/>
  <c r="T85" i="15"/>
  <c r="K69" i="2"/>
  <c r="K117" i="2" s="1"/>
  <c r="K106" i="2"/>
  <c r="Z86" i="15"/>
  <c r="AC91" i="15"/>
  <c r="Y88" i="15"/>
  <c r="AB90" i="15"/>
  <c r="R89" i="15"/>
  <c r="E86" i="15"/>
  <c r="AA88" i="15"/>
  <c r="AG89" i="15"/>
  <c r="AF89" i="15"/>
  <c r="I88" i="15"/>
  <c r="U88" i="15"/>
  <c r="N89" i="15"/>
  <c r="C76" i="2"/>
  <c r="C113" i="2"/>
  <c r="AH65" i="2"/>
  <c r="V91" i="15"/>
  <c r="W91" i="15"/>
  <c r="O86" i="15"/>
  <c r="J69" i="2"/>
  <c r="J117" i="2" s="1"/>
  <c r="J106" i="2"/>
  <c r="G85" i="6" l="1"/>
  <c r="G9" i="6" s="1"/>
  <c r="AB85" i="6"/>
  <c r="AB9" i="6" s="1"/>
  <c r="U85" i="6"/>
  <c r="U9" i="6" s="1"/>
  <c r="AD85" i="6"/>
  <c r="AD9" i="6" s="1"/>
  <c r="J85" i="6"/>
  <c r="J9" i="6" s="1"/>
  <c r="S11" i="15"/>
  <c r="S5" i="15" s="1"/>
  <c r="Z85" i="6"/>
  <c r="Z9" i="6" s="1"/>
  <c r="O11" i="15"/>
  <c r="O5" i="15" s="1"/>
  <c r="O8" i="5" s="1"/>
  <c r="O9" i="5" s="1"/>
  <c r="O4" i="5" s="1"/>
  <c r="O38" i="2" s="1"/>
  <c r="E85" i="6"/>
  <c r="E9" i="6" s="1"/>
  <c r="AF11" i="15"/>
  <c r="AF5" i="15" s="1"/>
  <c r="AF8" i="5" s="1"/>
  <c r="AF9" i="5" s="1"/>
  <c r="AF4" i="5" s="1"/>
  <c r="U11" i="15"/>
  <c r="U5" i="15" s="1"/>
  <c r="U8" i="5" s="1"/>
  <c r="U9" i="5" s="1"/>
  <c r="U4" i="5" s="1"/>
  <c r="L11" i="15"/>
  <c r="L5" i="15" s="1"/>
  <c r="L8" i="5" s="1"/>
  <c r="L9" i="5" s="1"/>
  <c r="L4" i="5" s="1"/>
  <c r="L38" i="2" s="1"/>
  <c r="AA11" i="15"/>
  <c r="AA5" i="15" s="1"/>
  <c r="AA8" i="5" s="1"/>
  <c r="AA9" i="5" s="1"/>
  <c r="AA4" i="5" s="1"/>
  <c r="X11" i="15"/>
  <c r="X5" i="15" s="1"/>
  <c r="X8" i="5" s="1"/>
  <c r="X9" i="5" s="1"/>
  <c r="X4" i="5" s="1"/>
  <c r="W8" i="6"/>
  <c r="W13" i="6" s="1"/>
  <c r="E11" i="15"/>
  <c r="E5" i="15" s="1"/>
  <c r="E8" i="5" s="1"/>
  <c r="E9" i="5" s="1"/>
  <c r="E4" i="5" s="1"/>
  <c r="E38" i="2" s="1"/>
  <c r="E49" i="2" s="1"/>
  <c r="E97" i="2" s="1"/>
  <c r="W85" i="6"/>
  <c r="W9" i="6" s="1"/>
  <c r="R86" i="15"/>
  <c r="R11" i="15"/>
  <c r="R5" i="15" s="1"/>
  <c r="R8" i="5" s="1"/>
  <c r="R9" i="5" s="1"/>
  <c r="R4" i="5" s="1"/>
  <c r="I18" i="6"/>
  <c r="I22" i="6" s="1"/>
  <c r="I41" i="2" s="1"/>
  <c r="I63" i="2" s="1"/>
  <c r="R85" i="6"/>
  <c r="R9" i="6" s="1"/>
  <c r="W18" i="6"/>
  <c r="W22" i="6" s="1"/>
  <c r="P11" i="15"/>
  <c r="P5" i="15" s="1"/>
  <c r="U136" i="2"/>
  <c r="T136" i="2"/>
  <c r="I11" i="15"/>
  <c r="I5" i="15" s="1"/>
  <c r="I8" i="5" s="1"/>
  <c r="I9" i="5" s="1"/>
  <c r="I4" i="5" s="1"/>
  <c r="I38" i="2" s="1"/>
  <c r="T11" i="15"/>
  <c r="T5" i="15" s="1"/>
  <c r="T8" i="5" s="1"/>
  <c r="T9" i="5" s="1"/>
  <c r="T4" i="5" s="1"/>
  <c r="G18" i="6"/>
  <c r="G22" i="6" s="1"/>
  <c r="G41" i="2" s="1"/>
  <c r="G89" i="2" s="1"/>
  <c r="S136" i="2"/>
  <c r="O85" i="6"/>
  <c r="O9" i="6" s="1"/>
  <c r="AB136" i="2"/>
  <c r="O136" i="2"/>
  <c r="X136" i="2"/>
  <c r="R136" i="2"/>
  <c r="M136" i="2"/>
  <c r="K136" i="2"/>
  <c r="AC136" i="2"/>
  <c r="W136" i="2"/>
  <c r="R90" i="15"/>
  <c r="L85" i="6"/>
  <c r="L9" i="6" s="1"/>
  <c r="Y11" i="15"/>
  <c r="Y5" i="15" s="1"/>
  <c r="Y8" i="5" s="1"/>
  <c r="Y9" i="5" s="1"/>
  <c r="Y4" i="5" s="1"/>
  <c r="D136" i="2"/>
  <c r="P85" i="6"/>
  <c r="P9" i="6" s="1"/>
  <c r="AD136" i="2"/>
  <c r="AA136" i="2"/>
  <c r="Z136" i="2"/>
  <c r="M11" i="15"/>
  <c r="M5" i="15" s="1"/>
  <c r="M8" i="5" s="1"/>
  <c r="M9" i="5" s="1"/>
  <c r="M4" i="5" s="1"/>
  <c r="M38" i="2" s="1"/>
  <c r="AC11" i="15"/>
  <c r="AC5" i="15" s="1"/>
  <c r="AC8" i="5" s="1"/>
  <c r="AC9" i="5" s="1"/>
  <c r="AC4" i="5" s="1"/>
  <c r="S8" i="5"/>
  <c r="S9" i="5" s="1"/>
  <c r="S4" i="5" s="1"/>
  <c r="H132" i="2"/>
  <c r="M85" i="6"/>
  <c r="M9" i="6" s="1"/>
  <c r="Y136" i="2"/>
  <c r="C30" i="5"/>
  <c r="C31" i="5" s="1"/>
  <c r="C26" i="5" s="1"/>
  <c r="C11" i="15"/>
  <c r="C5" i="15" s="1"/>
  <c r="F30" i="5"/>
  <c r="F31" i="5" s="1"/>
  <c r="F26" i="5" s="1"/>
  <c r="F11" i="15"/>
  <c r="F5" i="15" s="1"/>
  <c r="D30" i="5"/>
  <c r="D31" i="5" s="1"/>
  <c r="D26" i="5" s="1"/>
  <c r="D11" i="15"/>
  <c r="D5" i="15" s="1"/>
  <c r="AB30" i="5"/>
  <c r="AB31" i="5" s="1"/>
  <c r="AB26" i="5" s="1"/>
  <c r="AB11" i="15"/>
  <c r="AB5" i="15" s="1"/>
  <c r="G30" i="5"/>
  <c r="G31" i="5" s="1"/>
  <c r="G26" i="5" s="1"/>
  <c r="G11" i="15"/>
  <c r="G5" i="15" s="1"/>
  <c r="J132" i="2"/>
  <c r="Q136" i="2"/>
  <c r="H30" i="5"/>
  <c r="H31" i="5" s="1"/>
  <c r="H26" i="5" s="1"/>
  <c r="H11" i="15"/>
  <c r="H5" i="15" s="1"/>
  <c r="G132" i="2"/>
  <c r="E132" i="2"/>
  <c r="F8" i="6"/>
  <c r="F13" i="6" s="1"/>
  <c r="F40" i="2" s="1"/>
  <c r="F62" i="2" s="1"/>
  <c r="R91" i="15"/>
  <c r="Z30" i="5"/>
  <c r="Z31" i="5" s="1"/>
  <c r="Z26" i="5" s="1"/>
  <c r="Z11" i="15"/>
  <c r="Z5" i="15" s="1"/>
  <c r="J30" i="5"/>
  <c r="J31" i="5" s="1"/>
  <c r="J26" i="5" s="1"/>
  <c r="J11" i="15"/>
  <c r="J5" i="15" s="1"/>
  <c r="E136" i="2"/>
  <c r="P136" i="2"/>
  <c r="Q87" i="15"/>
  <c r="Q29" i="15"/>
  <c r="AG85" i="6"/>
  <c r="AG9" i="6" s="1"/>
  <c r="V136" i="2"/>
  <c r="W30" i="5"/>
  <c r="W31" i="5" s="1"/>
  <c r="W26" i="5" s="1"/>
  <c r="W11" i="15"/>
  <c r="W5" i="15" s="1"/>
  <c r="K30" i="5"/>
  <c r="K31" i="5" s="1"/>
  <c r="K26" i="5" s="1"/>
  <c r="K11" i="15"/>
  <c r="K5" i="15" s="1"/>
  <c r="I132" i="2"/>
  <c r="AE11" i="6"/>
  <c r="V30" i="5"/>
  <c r="V31" i="5" s="1"/>
  <c r="V26" i="5" s="1"/>
  <c r="V11" i="15"/>
  <c r="V5" i="15" s="1"/>
  <c r="AE30" i="5"/>
  <c r="AE31" i="5" s="1"/>
  <c r="AE26" i="5" s="1"/>
  <c r="AE11" i="15"/>
  <c r="AE5" i="15" s="1"/>
  <c r="G8" i="6"/>
  <c r="G13" i="6" s="1"/>
  <c r="G40" i="2" s="1"/>
  <c r="G51" i="2" s="1"/>
  <c r="G99" i="2" s="1"/>
  <c r="N18" i="6"/>
  <c r="N22" i="6" s="1"/>
  <c r="N41" i="2" s="1"/>
  <c r="N89" i="2" s="1"/>
  <c r="G136" i="2"/>
  <c r="N136" i="2"/>
  <c r="AI4" i="6"/>
  <c r="AI5" i="6" s="1"/>
  <c r="AH10" i="6"/>
  <c r="AF11" i="6" s="1"/>
  <c r="AH5" i="6"/>
  <c r="N30" i="5"/>
  <c r="N31" i="5" s="1"/>
  <c r="N26" i="5" s="1"/>
  <c r="N11" i="15"/>
  <c r="N5" i="15" s="1"/>
  <c r="I136" i="2"/>
  <c r="S85" i="6"/>
  <c r="S9" i="6" s="1"/>
  <c r="F132" i="2"/>
  <c r="AD30" i="5"/>
  <c r="AD31" i="5" s="1"/>
  <c r="AD26" i="5" s="1"/>
  <c r="AD11" i="15"/>
  <c r="AD5" i="15" s="1"/>
  <c r="Q8" i="6"/>
  <c r="Q13" i="6" s="1"/>
  <c r="Q40" i="2" s="1"/>
  <c r="O18" i="6"/>
  <c r="O22" i="6" s="1"/>
  <c r="O41" i="2" s="1"/>
  <c r="D46" i="2"/>
  <c r="D94" i="2" s="1"/>
  <c r="D83" i="2"/>
  <c r="G46" i="2"/>
  <c r="G94" i="2" s="1"/>
  <c r="G83" i="2"/>
  <c r="X85" i="6"/>
  <c r="X9" i="6" s="1"/>
  <c r="M8" i="6"/>
  <c r="M13" i="6" s="1"/>
  <c r="M40" i="2" s="1"/>
  <c r="X8" i="6"/>
  <c r="X13" i="6" s="1"/>
  <c r="Y85" i="6"/>
  <c r="Y9" i="6" s="1"/>
  <c r="AI61" i="2"/>
  <c r="AH109" i="2"/>
  <c r="S18" i="6"/>
  <c r="S22" i="6" s="1"/>
  <c r="N8" i="6"/>
  <c r="N13" i="6" s="1"/>
  <c r="N40" i="2" s="1"/>
  <c r="O8" i="6"/>
  <c r="O13" i="6" s="1"/>
  <c r="O40" i="2" s="1"/>
  <c r="D47" i="2"/>
  <c r="D95" i="2" s="1"/>
  <c r="D58" i="2"/>
  <c r="D84" i="2"/>
  <c r="J8" i="6"/>
  <c r="J13" i="6" s="1"/>
  <c r="J40" i="2" s="1"/>
  <c r="K85" i="6"/>
  <c r="K9" i="6" s="1"/>
  <c r="X18" i="6"/>
  <c r="X22" i="6" s="1"/>
  <c r="K18" i="6"/>
  <c r="K22" i="6" s="1"/>
  <c r="K41" i="2" s="1"/>
  <c r="S8" i="6"/>
  <c r="S13" i="6" s="1"/>
  <c r="N52" i="2"/>
  <c r="N100" i="2" s="1"/>
  <c r="J18" i="6"/>
  <c r="J22" i="6" s="1"/>
  <c r="J41" i="2" s="1"/>
  <c r="F136" i="2"/>
  <c r="V85" i="6"/>
  <c r="V9" i="6" s="1"/>
  <c r="K8" i="6"/>
  <c r="K13" i="6" s="1"/>
  <c r="K40" i="2" s="1"/>
  <c r="AI65" i="2"/>
  <c r="AH113" i="2"/>
  <c r="F46" i="2"/>
  <c r="F94" i="2" s="1"/>
  <c r="F83" i="2"/>
  <c r="AJ98" i="2"/>
  <c r="AI50" i="2"/>
  <c r="C8" i="16"/>
  <c r="O7" i="2"/>
  <c r="O7" i="13"/>
  <c r="O7" i="14"/>
  <c r="AH98" i="2"/>
  <c r="AB8" i="6"/>
  <c r="AB13" i="6" s="1"/>
  <c r="V18" i="6"/>
  <c r="V22" i="6" s="1"/>
  <c r="AH76" i="2"/>
  <c r="C124" i="2"/>
  <c r="T18" i="6"/>
  <c r="T22" i="6" s="1"/>
  <c r="AH72" i="2"/>
  <c r="C120" i="2"/>
  <c r="AJ102" i="2"/>
  <c r="AI54" i="2"/>
  <c r="O11" i="14"/>
  <c r="AH102" i="2"/>
  <c r="C12" i="16"/>
  <c r="O11" i="13"/>
  <c r="O11" i="2"/>
  <c r="AF85" i="6"/>
  <c r="AF9" i="6" s="1"/>
  <c r="U8" i="6"/>
  <c r="U13" i="6" s="1"/>
  <c r="P18" i="6"/>
  <c r="P22" i="6" s="1"/>
  <c r="P41" i="2" s="1"/>
  <c r="Q85" i="6"/>
  <c r="Q9" i="6" s="1"/>
  <c r="H136" i="2"/>
  <c r="C132" i="2"/>
  <c r="AB18" i="6"/>
  <c r="AB22" i="6" s="1"/>
  <c r="F18" i="6"/>
  <c r="F22" i="6" s="1"/>
  <c r="F41" i="2" s="1"/>
  <c r="V8" i="6"/>
  <c r="V13" i="6" s="1"/>
  <c r="H85" i="6"/>
  <c r="H9" i="6" s="1"/>
  <c r="H18" i="6"/>
  <c r="H22" i="6" s="1"/>
  <c r="H41" i="2" s="1"/>
  <c r="I85" i="6"/>
  <c r="I9" i="6" s="1"/>
  <c r="T8" i="6"/>
  <c r="T13" i="6" s="1"/>
  <c r="R8" i="6"/>
  <c r="R13" i="6" s="1"/>
  <c r="L136" i="2"/>
  <c r="C136" i="2"/>
  <c r="F51" i="2"/>
  <c r="F99" i="2" s="1"/>
  <c r="T85" i="6"/>
  <c r="T9" i="6" s="1"/>
  <c r="D59" i="2"/>
  <c r="D48" i="2"/>
  <c r="D96" i="2" s="1"/>
  <c r="D85" i="2"/>
  <c r="AC18" i="6"/>
  <c r="AC22" i="6" s="1"/>
  <c r="H8" i="6"/>
  <c r="H13" i="6" s="1"/>
  <c r="H40" i="2" s="1"/>
  <c r="U18" i="6"/>
  <c r="U22" i="6" s="1"/>
  <c r="N16" i="15"/>
  <c r="N57" i="2" s="1"/>
  <c r="C46" i="2"/>
  <c r="C83" i="2"/>
  <c r="Q35" i="2"/>
  <c r="P8" i="6"/>
  <c r="P13" i="6" s="1"/>
  <c r="P40" i="2" s="1"/>
  <c r="M60" i="2"/>
  <c r="M49" i="2"/>
  <c r="M97" i="2" s="1"/>
  <c r="M86" i="2"/>
  <c r="C58" i="2"/>
  <c r="C47" i="2"/>
  <c r="C84" i="2"/>
  <c r="AH36" i="2"/>
  <c r="R18" i="6"/>
  <c r="R22" i="6" s="1"/>
  <c r="C18" i="6"/>
  <c r="C22" i="6" s="1"/>
  <c r="C41" i="2" s="1"/>
  <c r="E18" i="6"/>
  <c r="E22" i="6" s="1"/>
  <c r="E41" i="2" s="1"/>
  <c r="D18" i="6"/>
  <c r="D22" i="6" s="1"/>
  <c r="D41" i="2" s="1"/>
  <c r="J136" i="2"/>
  <c r="E46" i="2"/>
  <c r="E94" i="2" s="1"/>
  <c r="E83" i="2"/>
  <c r="N85" i="6"/>
  <c r="N9" i="6" s="1"/>
  <c r="L18" i="6"/>
  <c r="L22" i="6" s="1"/>
  <c r="L41" i="2" s="1"/>
  <c r="D85" i="6"/>
  <c r="D9" i="6" s="1"/>
  <c r="AE8" i="6"/>
  <c r="R85" i="15"/>
  <c r="F15" i="3"/>
  <c r="E4" i="3"/>
  <c r="E5" i="3" s="1"/>
  <c r="E6" i="3" s="1"/>
  <c r="E37" i="2" s="1"/>
  <c r="AC8" i="6"/>
  <c r="AC13" i="6" s="1"/>
  <c r="P16" i="15"/>
  <c r="P57" i="2" s="1"/>
  <c r="C96" i="2"/>
  <c r="F85" i="6"/>
  <c r="F9" i="6" s="1"/>
  <c r="M16" i="15"/>
  <c r="M57" i="2" s="1"/>
  <c r="E58" i="2"/>
  <c r="E47" i="2"/>
  <c r="E95" i="2" s="1"/>
  <c r="E84" i="2"/>
  <c r="H46" i="2"/>
  <c r="H94" i="2" s="1"/>
  <c r="H83" i="2"/>
  <c r="AD18" i="6"/>
  <c r="AD22" i="6" s="1"/>
  <c r="AE85" i="6"/>
  <c r="AE9" i="6" s="1"/>
  <c r="L8" i="6"/>
  <c r="L13" i="6" s="1"/>
  <c r="L40" i="2" s="1"/>
  <c r="Y18" i="6"/>
  <c r="Y22" i="6" s="1"/>
  <c r="AE18" i="6"/>
  <c r="AE22" i="6" s="1"/>
  <c r="Z8" i="6"/>
  <c r="Z13" i="6" s="1"/>
  <c r="AA85" i="6"/>
  <c r="AA9" i="6" s="1"/>
  <c r="O60" i="2"/>
  <c r="O49" i="2"/>
  <c r="O97" i="2" s="1"/>
  <c r="O86" i="2"/>
  <c r="C70" i="2"/>
  <c r="C107" i="2"/>
  <c r="AA8" i="6"/>
  <c r="AA13" i="6" s="1"/>
  <c r="F58" i="2"/>
  <c r="F47" i="2"/>
  <c r="F95" i="2" s="1"/>
  <c r="F84" i="2"/>
  <c r="E8" i="6"/>
  <c r="E13" i="6" s="1"/>
  <c r="E40" i="2" s="1"/>
  <c r="D8" i="6"/>
  <c r="D13" i="6" s="1"/>
  <c r="D40" i="2" s="1"/>
  <c r="C8" i="6"/>
  <c r="C13" i="6" s="1"/>
  <c r="C40" i="2" s="1"/>
  <c r="Q16" i="15"/>
  <c r="Q57" i="2" s="1"/>
  <c r="I8" i="6"/>
  <c r="I13" i="6" s="1"/>
  <c r="I40" i="2" s="1"/>
  <c r="H58" i="2"/>
  <c r="H47" i="2"/>
  <c r="H95" i="2" s="1"/>
  <c r="H84" i="2"/>
  <c r="AD8" i="6"/>
  <c r="AD13" i="6" s="1"/>
  <c r="Q18" i="6"/>
  <c r="Q22" i="6" s="1"/>
  <c r="Q41" i="2" s="1"/>
  <c r="Y8" i="6"/>
  <c r="Y13" i="6" s="1"/>
  <c r="AC85" i="6"/>
  <c r="AC9" i="6" s="1"/>
  <c r="G58" i="2"/>
  <c r="G47" i="2"/>
  <c r="G95" i="2" s="1"/>
  <c r="G84" i="2"/>
  <c r="Z18" i="6"/>
  <c r="Z22" i="6" s="1"/>
  <c r="M18" i="6"/>
  <c r="M22" i="6" s="1"/>
  <c r="M41" i="2" s="1"/>
  <c r="AA18" i="6"/>
  <c r="AA22" i="6" s="1"/>
  <c r="S15" i="15" l="1"/>
  <c r="T15" i="15"/>
  <c r="U15" i="15"/>
  <c r="I89" i="2"/>
  <c r="G63" i="2"/>
  <c r="P15" i="15"/>
  <c r="I52" i="2"/>
  <c r="I100" i="2" s="1"/>
  <c r="G52" i="2"/>
  <c r="G100" i="2" s="1"/>
  <c r="AE13" i="6"/>
  <c r="F88" i="2"/>
  <c r="E60" i="2"/>
  <c r="E71" i="2" s="1"/>
  <c r="E119" i="2" s="1"/>
  <c r="R1" i="15"/>
  <c r="L35" i="2" s="1"/>
  <c r="L46" i="2" s="1"/>
  <c r="L94" i="2" s="1"/>
  <c r="E86" i="2"/>
  <c r="L49" i="2"/>
  <c r="L97" i="2" s="1"/>
  <c r="L86" i="2"/>
  <c r="L60" i="2"/>
  <c r="L108" i="2" s="1"/>
  <c r="I86" i="2"/>
  <c r="I60" i="2"/>
  <c r="I71" i="2" s="1"/>
  <c r="I119" i="2" s="1"/>
  <c r="I49" i="2"/>
  <c r="I97" i="2" s="1"/>
  <c r="N63" i="2"/>
  <c r="P8" i="5"/>
  <c r="P9" i="5" s="1"/>
  <c r="P4" i="5" s="1"/>
  <c r="P38" i="2" s="1"/>
  <c r="G88" i="2"/>
  <c r="G62" i="2"/>
  <c r="G110" i="2" s="1"/>
  <c r="Y15" i="15"/>
  <c r="M15" i="15"/>
  <c r="O15" i="15"/>
  <c r="N8" i="5"/>
  <c r="N9" i="5" s="1"/>
  <c r="N4" i="5" s="1"/>
  <c r="N38" i="2" s="1"/>
  <c r="N15" i="15"/>
  <c r="Z8" i="5"/>
  <c r="Z9" i="5" s="1"/>
  <c r="Z4" i="5" s="1"/>
  <c r="Z15" i="15"/>
  <c r="AA15" i="15"/>
  <c r="Q30" i="5"/>
  <c r="Q31" i="5" s="1"/>
  <c r="Q26" i="5" s="1"/>
  <c r="Q11" i="15"/>
  <c r="Q5" i="15" s="1"/>
  <c r="D8" i="5"/>
  <c r="D9" i="5" s="1"/>
  <c r="D4" i="5" s="1"/>
  <c r="D38" i="2" s="1"/>
  <c r="E15" i="15"/>
  <c r="L15" i="15"/>
  <c r="K8" i="5"/>
  <c r="K9" i="5" s="1"/>
  <c r="K4" i="5" s="1"/>
  <c r="K38" i="2" s="1"/>
  <c r="F8" i="5"/>
  <c r="F9" i="5" s="1"/>
  <c r="F4" i="5" s="1"/>
  <c r="F38" i="2" s="1"/>
  <c r="F15" i="15"/>
  <c r="G15" i="15"/>
  <c r="AI86" i="6"/>
  <c r="AI7" i="6"/>
  <c r="AI17" i="6"/>
  <c r="AE8" i="5"/>
  <c r="AE9" i="5" s="1"/>
  <c r="AE4" i="5" s="1"/>
  <c r="AF15" i="15"/>
  <c r="AH7" i="6"/>
  <c r="AH17" i="6"/>
  <c r="AH86" i="6"/>
  <c r="AH85" i="6" s="1"/>
  <c r="AH9" i="6" s="1"/>
  <c r="X15" i="15"/>
  <c r="W8" i="5"/>
  <c r="W9" i="5" s="1"/>
  <c r="W4" i="5" s="1"/>
  <c r="G8" i="5"/>
  <c r="G9" i="5" s="1"/>
  <c r="G4" i="5" s="1"/>
  <c r="G38" i="2" s="1"/>
  <c r="H15" i="15"/>
  <c r="C15" i="15"/>
  <c r="C8" i="5"/>
  <c r="C9" i="5" s="1"/>
  <c r="C4" i="5" s="1"/>
  <c r="C38" i="2" s="1"/>
  <c r="D15" i="15"/>
  <c r="V8" i="5"/>
  <c r="V9" i="5" s="1"/>
  <c r="V4" i="5" s="1"/>
  <c r="W15" i="15"/>
  <c r="V15" i="15"/>
  <c r="J8" i="5"/>
  <c r="J9" i="5" s="1"/>
  <c r="J4" i="5" s="1"/>
  <c r="J38" i="2" s="1"/>
  <c r="K15" i="15"/>
  <c r="J15" i="15"/>
  <c r="AD8" i="5"/>
  <c r="AD9" i="5" s="1"/>
  <c r="AD4" i="5" s="1"/>
  <c r="AE15" i="15"/>
  <c r="AD15" i="15"/>
  <c r="AJ4" i="6"/>
  <c r="AI10" i="6"/>
  <c r="H8" i="5"/>
  <c r="H9" i="5" s="1"/>
  <c r="H4" i="5" s="1"/>
  <c r="H38" i="2" s="1"/>
  <c r="I15" i="15"/>
  <c r="AB8" i="5"/>
  <c r="AB9" i="5" s="1"/>
  <c r="AB4" i="5" s="1"/>
  <c r="AB15" i="15"/>
  <c r="AC15" i="15"/>
  <c r="C69" i="2"/>
  <c r="C106" i="2"/>
  <c r="AH58" i="2"/>
  <c r="D52" i="2"/>
  <c r="D100" i="2" s="1"/>
  <c r="D63" i="2"/>
  <c r="D89" i="2"/>
  <c r="Q46" i="2"/>
  <c r="Q94" i="2" s="1"/>
  <c r="Q83" i="2"/>
  <c r="N68" i="2"/>
  <c r="N116" i="2" s="1"/>
  <c r="N105" i="2"/>
  <c r="I108" i="2"/>
  <c r="AH124" i="2"/>
  <c r="AI76" i="2"/>
  <c r="K62" i="2"/>
  <c r="K51" i="2"/>
  <c r="K99" i="2" s="1"/>
  <c r="K88" i="2"/>
  <c r="O16" i="15"/>
  <c r="O57" i="2" s="1"/>
  <c r="I74" i="2"/>
  <c r="I122" i="2" s="1"/>
  <c r="I111" i="2"/>
  <c r="AH47" i="2"/>
  <c r="C95" i="2"/>
  <c r="G69" i="2"/>
  <c r="G117" i="2" s="1"/>
  <c r="G106" i="2"/>
  <c r="P68" i="2"/>
  <c r="P116" i="2" s="1"/>
  <c r="P105" i="2"/>
  <c r="P51" i="2"/>
  <c r="P99" i="2" s="1"/>
  <c r="P88" i="2"/>
  <c r="P62" i="2"/>
  <c r="Q68" i="2"/>
  <c r="Q116" i="2" s="1"/>
  <c r="Q105" i="2"/>
  <c r="H69" i="2"/>
  <c r="H117" i="2" s="1"/>
  <c r="H106" i="2"/>
  <c r="C118" i="2"/>
  <c r="E59" i="2"/>
  <c r="E48" i="2"/>
  <c r="E85" i="2"/>
  <c r="E89" i="2"/>
  <c r="E52" i="2"/>
  <c r="E100" i="2" s="1"/>
  <c r="E63" i="2"/>
  <c r="P63" i="2"/>
  <c r="P89" i="2"/>
  <c r="P52" i="2"/>
  <c r="P100" i="2" s="1"/>
  <c r="P7" i="13"/>
  <c r="P7" i="14"/>
  <c r="O18" i="2"/>
  <c r="D8" i="16"/>
  <c r="D69" i="2"/>
  <c r="D117" i="2" s="1"/>
  <c r="D106" i="2"/>
  <c r="F73" i="2"/>
  <c r="F121" i="2" s="1"/>
  <c r="F110" i="2"/>
  <c r="F89" i="2"/>
  <c r="F63" i="2"/>
  <c r="F52" i="2"/>
  <c r="F100" i="2" s="1"/>
  <c r="O22" i="2"/>
  <c r="P11" i="14"/>
  <c r="D12" i="16"/>
  <c r="P11" i="13"/>
  <c r="J89" i="2"/>
  <c r="J52" i="2"/>
  <c r="J100" i="2" s="1"/>
  <c r="J63" i="2"/>
  <c r="M51" i="2"/>
  <c r="M99" i="2" s="1"/>
  <c r="M88" i="2"/>
  <c r="M62" i="2"/>
  <c r="C52" i="2"/>
  <c r="C63" i="2"/>
  <c r="C89" i="2"/>
  <c r="AH41" i="2"/>
  <c r="D51" i="2"/>
  <c r="D99" i="2" s="1"/>
  <c r="D88" i="2"/>
  <c r="D62" i="2"/>
  <c r="E69" i="2"/>
  <c r="E117" i="2" s="1"/>
  <c r="E106" i="2"/>
  <c r="E51" i="2"/>
  <c r="E99" i="2" s="1"/>
  <c r="E62" i="2"/>
  <c r="E88" i="2"/>
  <c r="O71" i="2"/>
  <c r="O119" i="2" s="1"/>
  <c r="O108" i="2"/>
  <c r="AI36" i="2"/>
  <c r="AH84" i="2"/>
  <c r="C94" i="2"/>
  <c r="D70" i="2"/>
  <c r="D118" i="2" s="1"/>
  <c r="D107" i="2"/>
  <c r="C130" i="2" s="1"/>
  <c r="K63" i="2"/>
  <c r="K52" i="2"/>
  <c r="K100" i="2" s="1"/>
  <c r="K89" i="2"/>
  <c r="O62" i="2"/>
  <c r="O51" i="2"/>
  <c r="O99" i="2" s="1"/>
  <c r="O88" i="2"/>
  <c r="AE132" i="2"/>
  <c r="AF132" i="2"/>
  <c r="O89" i="2"/>
  <c r="O63" i="2"/>
  <c r="O52" i="2"/>
  <c r="O100" i="2" s="1"/>
  <c r="L51" i="2"/>
  <c r="L99" i="2" s="1"/>
  <c r="L88" i="2"/>
  <c r="L62" i="2"/>
  <c r="G15" i="3"/>
  <c r="F4" i="3"/>
  <c r="F5" i="3" s="1"/>
  <c r="F6" i="3" s="1"/>
  <c r="F37" i="2" s="1"/>
  <c r="M89" i="2"/>
  <c r="M52" i="2"/>
  <c r="M100" i="2" s="1"/>
  <c r="M63" i="2"/>
  <c r="M68" i="2"/>
  <c r="M116" i="2" s="1"/>
  <c r="M105" i="2"/>
  <c r="Q52" i="2"/>
  <c r="Q100" i="2" s="1"/>
  <c r="Q89" i="2"/>
  <c r="Q63" i="2"/>
  <c r="M71" i="2"/>
  <c r="M119" i="2" s="1"/>
  <c r="M108" i="2"/>
  <c r="H51" i="2"/>
  <c r="H99" i="2" s="1"/>
  <c r="H88" i="2"/>
  <c r="H62" i="2"/>
  <c r="H63" i="2"/>
  <c r="H52" i="2"/>
  <c r="H100" i="2" s="1"/>
  <c r="H89" i="2"/>
  <c r="AH120" i="2"/>
  <c r="AI72" i="2"/>
  <c r="N51" i="2"/>
  <c r="N99" i="2" s="1"/>
  <c r="N62" i="2"/>
  <c r="N88" i="2"/>
  <c r="Q62" i="2"/>
  <c r="Q51" i="2"/>
  <c r="Q99" i="2" s="1"/>
  <c r="Q88" i="2"/>
  <c r="I88" i="2"/>
  <c r="I62" i="2"/>
  <c r="I51" i="2"/>
  <c r="I99" i="2" s="1"/>
  <c r="L63" i="2"/>
  <c r="L52" i="2"/>
  <c r="L100" i="2" s="1"/>
  <c r="L89" i="2"/>
  <c r="G74" i="2"/>
  <c r="G122" i="2" s="1"/>
  <c r="G111" i="2"/>
  <c r="AF136" i="2"/>
  <c r="AE136" i="2"/>
  <c r="N74" i="2"/>
  <c r="N122" i="2" s="1"/>
  <c r="N111" i="2"/>
  <c r="C62" i="2"/>
  <c r="C88" i="2"/>
  <c r="AH40" i="2"/>
  <c r="C51" i="2"/>
  <c r="F69" i="2"/>
  <c r="F117" i="2" s="1"/>
  <c r="F106" i="2"/>
  <c r="J62" i="2"/>
  <c r="J51" i="2"/>
  <c r="J99" i="2" s="1"/>
  <c r="J88" i="2"/>
  <c r="L71" i="2" l="1"/>
  <c r="L119" i="2" s="1"/>
  <c r="U1" i="15"/>
  <c r="I16" i="15" s="1"/>
  <c r="I57" i="2" s="1"/>
  <c r="L83" i="2"/>
  <c r="AH35" i="2"/>
  <c r="E108" i="2"/>
  <c r="G73" i="2"/>
  <c r="G121" i="2" s="1"/>
  <c r="E16" i="15"/>
  <c r="E57" i="2" s="1"/>
  <c r="P60" i="2"/>
  <c r="P86" i="2"/>
  <c r="P49" i="2"/>
  <c r="P97" i="2" s="1"/>
  <c r="D16" i="15"/>
  <c r="D57" i="2" s="1"/>
  <c r="C60" i="2"/>
  <c r="C49" i="2"/>
  <c r="C86" i="2"/>
  <c r="AH38" i="2"/>
  <c r="J129" i="2"/>
  <c r="K49" i="2"/>
  <c r="K97" i="2" s="1"/>
  <c r="K86" i="2"/>
  <c r="K60" i="2"/>
  <c r="H86" i="2"/>
  <c r="H60" i="2"/>
  <c r="H49" i="2"/>
  <c r="H97" i="2" s="1"/>
  <c r="J86" i="2"/>
  <c r="J60" i="2"/>
  <c r="J49" i="2"/>
  <c r="J97" i="2" s="1"/>
  <c r="AG11" i="6"/>
  <c r="G60" i="2"/>
  <c r="G49" i="2"/>
  <c r="G97" i="2" s="1"/>
  <c r="G86" i="2"/>
  <c r="AB129" i="2"/>
  <c r="AA129" i="2"/>
  <c r="Y129" i="2"/>
  <c r="Z129" i="2"/>
  <c r="AC129" i="2"/>
  <c r="AD129" i="2"/>
  <c r="Q129" i="2"/>
  <c r="L129" i="2"/>
  <c r="P129" i="2"/>
  <c r="O129" i="2"/>
  <c r="K129" i="2"/>
  <c r="N129" i="2"/>
  <c r="M129" i="2"/>
  <c r="AK4" i="6"/>
  <c r="AK10" i="6" s="1"/>
  <c r="AJ10" i="6"/>
  <c r="AH11" i="6" s="1"/>
  <c r="AI85" i="6"/>
  <c r="AI9" i="6" s="1"/>
  <c r="R129" i="2"/>
  <c r="V129" i="2"/>
  <c r="U129" i="2"/>
  <c r="X129" i="2"/>
  <c r="W129" i="2"/>
  <c r="S129" i="2"/>
  <c r="T129" i="2"/>
  <c r="Y133" i="2"/>
  <c r="Z133" i="2"/>
  <c r="AC133" i="2"/>
  <c r="AB133" i="2"/>
  <c r="AD133" i="2"/>
  <c r="AA133" i="2"/>
  <c r="N49" i="2"/>
  <c r="N97" i="2" s="1"/>
  <c r="N86" i="2"/>
  <c r="N60" i="2"/>
  <c r="I129" i="2"/>
  <c r="AG18" i="6"/>
  <c r="AG22" i="6" s="1"/>
  <c r="AF18" i="6"/>
  <c r="AF22" i="6" s="1"/>
  <c r="D60" i="2"/>
  <c r="D49" i="2"/>
  <c r="D97" i="2" s="1"/>
  <c r="D86" i="2"/>
  <c r="AF8" i="6"/>
  <c r="AF13" i="6" s="1"/>
  <c r="AG8" i="6"/>
  <c r="AG13" i="6" s="1"/>
  <c r="F60" i="2"/>
  <c r="F49" i="2"/>
  <c r="F97" i="2" s="1"/>
  <c r="F86" i="2"/>
  <c r="Q8" i="5"/>
  <c r="Q9" i="5" s="1"/>
  <c r="Q4" i="5" s="1"/>
  <c r="Q38" i="2" s="1"/>
  <c r="R15" i="15"/>
  <c r="Q15" i="15"/>
  <c r="AJ5" i="6"/>
  <c r="K74" i="2"/>
  <c r="K122" i="2" s="1"/>
  <c r="K111" i="2"/>
  <c r="D73" i="2"/>
  <c r="D121" i="2" s="1"/>
  <c r="D110" i="2"/>
  <c r="P73" i="2"/>
  <c r="P121" i="2" s="1"/>
  <c r="P110" i="2"/>
  <c r="D74" i="2"/>
  <c r="D122" i="2" s="1"/>
  <c r="D111" i="2"/>
  <c r="C73" i="2"/>
  <c r="C110" i="2"/>
  <c r="AH62" i="2"/>
  <c r="E74" i="2"/>
  <c r="E122" i="2" s="1"/>
  <c r="E111" i="2"/>
  <c r="AH69" i="2"/>
  <c r="C117" i="2"/>
  <c r="H129" i="2"/>
  <c r="O68" i="2"/>
  <c r="O116" i="2" s="1"/>
  <c r="O105" i="2"/>
  <c r="H15" i="3"/>
  <c r="G4" i="3"/>
  <c r="G5" i="3" s="1"/>
  <c r="G6" i="3" s="1"/>
  <c r="G37" i="2" s="1"/>
  <c r="Q110" i="2"/>
  <c r="Q73" i="2"/>
  <c r="Q121" i="2" s="1"/>
  <c r="H74" i="2"/>
  <c r="H122" i="2" s="1"/>
  <c r="H111" i="2"/>
  <c r="L73" i="2"/>
  <c r="L121" i="2" s="1"/>
  <c r="L110" i="2"/>
  <c r="H73" i="2"/>
  <c r="H121" i="2" s="1"/>
  <c r="H110" i="2"/>
  <c r="M74" i="2"/>
  <c r="M122" i="2" s="1"/>
  <c r="M111" i="2"/>
  <c r="AH46" i="2"/>
  <c r="E110" i="2"/>
  <c r="E73" i="2"/>
  <c r="E121" i="2" s="1"/>
  <c r="J111" i="2"/>
  <c r="J74" i="2"/>
  <c r="J122" i="2" s="1"/>
  <c r="F111" i="2"/>
  <c r="F74" i="2"/>
  <c r="F122" i="2" s="1"/>
  <c r="E129" i="2"/>
  <c r="E96" i="2"/>
  <c r="C99" i="2"/>
  <c r="AH51" i="2"/>
  <c r="L111" i="2"/>
  <c r="L74" i="2"/>
  <c r="L122" i="2" s="1"/>
  <c r="N110" i="2"/>
  <c r="N73" i="2"/>
  <c r="N121" i="2" s="1"/>
  <c r="Q74" i="2"/>
  <c r="Q122" i="2" s="1"/>
  <c r="Q111" i="2"/>
  <c r="O110" i="2"/>
  <c r="O73" i="2"/>
  <c r="O121" i="2" s="1"/>
  <c r="AH89" i="2"/>
  <c r="AI41" i="2"/>
  <c r="E70" i="2"/>
  <c r="E118" i="2" s="1"/>
  <c r="E107" i="2"/>
  <c r="M110" i="2"/>
  <c r="M73" i="2"/>
  <c r="M121" i="2" s="1"/>
  <c r="F129" i="2"/>
  <c r="G129" i="2"/>
  <c r="AJ95" i="2"/>
  <c r="AI47" i="2"/>
  <c r="O4" i="2"/>
  <c r="C5" i="16"/>
  <c r="AH95" i="2"/>
  <c r="O4" i="13"/>
  <c r="O4" i="14"/>
  <c r="K73" i="2"/>
  <c r="K121" i="2" s="1"/>
  <c r="K110" i="2"/>
  <c r="AI58" i="2"/>
  <c r="AH106" i="2"/>
  <c r="J73" i="2"/>
  <c r="J121" i="2" s="1"/>
  <c r="J110" i="2"/>
  <c r="C100" i="2"/>
  <c r="AH52" i="2"/>
  <c r="AH88" i="2"/>
  <c r="AI40" i="2"/>
  <c r="I110" i="2"/>
  <c r="I73" i="2"/>
  <c r="I121" i="2" s="1"/>
  <c r="F48" i="2"/>
  <c r="F96" i="2" s="1"/>
  <c r="F59" i="2"/>
  <c r="F85" i="2"/>
  <c r="O74" i="2"/>
  <c r="O122" i="2" s="1"/>
  <c r="O111" i="2"/>
  <c r="C111" i="2"/>
  <c r="C74" i="2"/>
  <c r="AH63" i="2"/>
  <c r="P111" i="2"/>
  <c r="P74" i="2"/>
  <c r="P122" i="2" s="1"/>
  <c r="D130" i="2"/>
  <c r="C129" i="2"/>
  <c r="D129" i="2"/>
  <c r="C16" i="15" l="1"/>
  <c r="C57" i="2" s="1"/>
  <c r="G16" i="15"/>
  <c r="G57" i="2" s="1"/>
  <c r="G68" i="2" s="1"/>
  <c r="G116" i="2" s="1"/>
  <c r="J16" i="15"/>
  <c r="J57" i="2" s="1"/>
  <c r="J105" i="2" s="1"/>
  <c r="H16" i="15"/>
  <c r="H57" i="2" s="1"/>
  <c r="I105" i="2"/>
  <c r="I68" i="2"/>
  <c r="I116" i="2" s="1"/>
  <c r="AH83" i="2"/>
  <c r="AI35" i="2"/>
  <c r="K16" i="15"/>
  <c r="K57" i="2" s="1"/>
  <c r="F16" i="15"/>
  <c r="F57" i="2" s="1"/>
  <c r="F68" i="2" s="1"/>
  <c r="F116" i="2" s="1"/>
  <c r="L16" i="15"/>
  <c r="L57" i="2" s="1"/>
  <c r="D68" i="2"/>
  <c r="D116" i="2" s="1"/>
  <c r="D105" i="2"/>
  <c r="P71" i="2"/>
  <c r="P119" i="2" s="1"/>
  <c r="P108" i="2"/>
  <c r="E68" i="2"/>
  <c r="E116" i="2" s="1"/>
  <c r="E105" i="2"/>
  <c r="C105" i="2"/>
  <c r="C68" i="2"/>
  <c r="C116" i="2" s="1"/>
  <c r="N133" i="2"/>
  <c r="L134" i="2"/>
  <c r="P133" i="2"/>
  <c r="I133" i="2"/>
  <c r="K134" i="2"/>
  <c r="T133" i="2"/>
  <c r="H133" i="2"/>
  <c r="R133" i="2"/>
  <c r="P134" i="2"/>
  <c r="AJ11" i="6"/>
  <c r="AI11" i="6"/>
  <c r="O134" i="2"/>
  <c r="M134" i="2"/>
  <c r="S134" i="2"/>
  <c r="H71" i="2"/>
  <c r="H119" i="2" s="1"/>
  <c r="H108" i="2"/>
  <c r="W133" i="2"/>
  <c r="V133" i="2"/>
  <c r="U133" i="2"/>
  <c r="X133" i="2"/>
  <c r="J134" i="2"/>
  <c r="U134" i="2"/>
  <c r="W134" i="2"/>
  <c r="V134" i="2"/>
  <c r="X134" i="2"/>
  <c r="AK11" i="6"/>
  <c r="AH86" i="2"/>
  <c r="AI38" i="2"/>
  <c r="F108" i="2"/>
  <c r="F71" i="2"/>
  <c r="F119" i="2" s="1"/>
  <c r="D71" i="2"/>
  <c r="D119" i="2" s="1"/>
  <c r="D108" i="2"/>
  <c r="N108" i="2"/>
  <c r="N71" i="2"/>
  <c r="N119" i="2" s="1"/>
  <c r="AH49" i="2"/>
  <c r="C97" i="2"/>
  <c r="H134" i="2"/>
  <c r="AA134" i="2"/>
  <c r="Y134" i="2"/>
  <c r="AB134" i="2"/>
  <c r="AD134" i="2"/>
  <c r="Z134" i="2"/>
  <c r="AC134" i="2"/>
  <c r="AJ86" i="6"/>
  <c r="AJ85" i="6" s="1"/>
  <c r="AJ9" i="6" s="1"/>
  <c r="AJ7" i="6"/>
  <c r="AJ17" i="6"/>
  <c r="J71" i="2"/>
  <c r="J119" i="2" s="1"/>
  <c r="J108" i="2"/>
  <c r="M131" i="2" s="1"/>
  <c r="K71" i="2"/>
  <c r="K119" i="2" s="1"/>
  <c r="K108" i="2"/>
  <c r="C71" i="2"/>
  <c r="C108" i="2"/>
  <c r="AH60" i="2"/>
  <c r="T134" i="2"/>
  <c r="E134" i="2"/>
  <c r="G108" i="2"/>
  <c r="AF131" i="2" s="1"/>
  <c r="G71" i="2"/>
  <c r="G119" i="2" s="1"/>
  <c r="Q60" i="2"/>
  <c r="Q49" i="2"/>
  <c r="Q97" i="2" s="1"/>
  <c r="Q86" i="2"/>
  <c r="AK5" i="6"/>
  <c r="K133" i="2"/>
  <c r="L133" i="2"/>
  <c r="AH74" i="2"/>
  <c r="C122" i="2"/>
  <c r="G48" i="2"/>
  <c r="G96" i="2" s="1"/>
  <c r="G59" i="2"/>
  <c r="G85" i="2"/>
  <c r="AH73" i="2"/>
  <c r="C121" i="2"/>
  <c r="AJ94" i="2"/>
  <c r="C4" i="16"/>
  <c r="AI46" i="2"/>
  <c r="O3" i="14"/>
  <c r="O3" i="2"/>
  <c r="AH94" i="2"/>
  <c r="O3" i="13"/>
  <c r="AH117" i="2"/>
  <c r="AI69" i="2"/>
  <c r="S133" i="2"/>
  <c r="D134" i="2"/>
  <c r="C134" i="2"/>
  <c r="O15" i="2"/>
  <c r="P4" i="13"/>
  <c r="P4" i="14"/>
  <c r="D5" i="16"/>
  <c r="G133" i="2"/>
  <c r="F133" i="2"/>
  <c r="AI52" i="2"/>
  <c r="AH100" i="2"/>
  <c r="AJ100" i="2"/>
  <c r="C10" i="16"/>
  <c r="O9" i="13"/>
  <c r="O9" i="14"/>
  <c r="O9" i="2"/>
  <c r="R134" i="2"/>
  <c r="M133" i="2"/>
  <c r="F134" i="2"/>
  <c r="G134" i="2"/>
  <c r="E133" i="2"/>
  <c r="J133" i="2"/>
  <c r="Q134" i="2"/>
  <c r="AI51" i="2"/>
  <c r="AH99" i="2"/>
  <c r="AJ99" i="2"/>
  <c r="C9" i="16"/>
  <c r="O8" i="13"/>
  <c r="O8" i="14"/>
  <c r="O8" i="2"/>
  <c r="G130" i="2"/>
  <c r="F130" i="2"/>
  <c r="E130" i="2"/>
  <c r="AH110" i="2"/>
  <c r="AI62" i="2"/>
  <c r="N134" i="2"/>
  <c r="I15" i="3"/>
  <c r="H4" i="3"/>
  <c r="H5" i="3" s="1"/>
  <c r="H6" i="3" s="1"/>
  <c r="H37" i="2" s="1"/>
  <c r="AI63" i="2"/>
  <c r="AH111" i="2"/>
  <c r="F70" i="2"/>
  <c r="F107" i="2"/>
  <c r="V130" i="2" s="1"/>
  <c r="AF129" i="2"/>
  <c r="AE129" i="2"/>
  <c r="Q133" i="2"/>
  <c r="O133" i="2"/>
  <c r="I134" i="2"/>
  <c r="D133" i="2"/>
  <c r="C133" i="2"/>
  <c r="J68" i="2" l="1"/>
  <c r="J116" i="2" s="1"/>
  <c r="H105" i="2"/>
  <c r="H68" i="2"/>
  <c r="H116" i="2" s="1"/>
  <c r="AH57" i="2"/>
  <c r="AI57" i="2" s="1"/>
  <c r="C128" i="2"/>
  <c r="F105" i="2"/>
  <c r="G105" i="2"/>
  <c r="AF128" i="2" s="1"/>
  <c r="L105" i="2"/>
  <c r="L68" i="2"/>
  <c r="L116" i="2" s="1"/>
  <c r="K68" i="2"/>
  <c r="K116" i="2" s="1"/>
  <c r="K105" i="2"/>
  <c r="I128" i="2"/>
  <c r="O128" i="2"/>
  <c r="AE131" i="2"/>
  <c r="D128" i="2"/>
  <c r="M128" i="2"/>
  <c r="S128" i="2"/>
  <c r="U128" i="2"/>
  <c r="T128" i="2"/>
  <c r="V128" i="2"/>
  <c r="E128" i="2"/>
  <c r="J128" i="2"/>
  <c r="H128" i="2"/>
  <c r="G128" i="2"/>
  <c r="F128" i="2"/>
  <c r="P128" i="2"/>
  <c r="L128" i="2"/>
  <c r="K128" i="2"/>
  <c r="N128" i="2"/>
  <c r="Q128" i="2"/>
  <c r="I131" i="2"/>
  <c r="X130" i="2"/>
  <c r="W130" i="2"/>
  <c r="Q71" i="2"/>
  <c r="Q119" i="2" s="1"/>
  <c r="Q108" i="2"/>
  <c r="T131" i="2" s="1"/>
  <c r="AH18" i="6"/>
  <c r="AH22" i="6" s="1"/>
  <c r="AI60" i="2"/>
  <c r="AH108" i="2"/>
  <c r="AH8" i="6"/>
  <c r="AH13" i="6" s="1"/>
  <c r="H131" i="2"/>
  <c r="AB131" i="2"/>
  <c r="Y131" i="2"/>
  <c r="AC131" i="2"/>
  <c r="AA131" i="2"/>
  <c r="AD131" i="2"/>
  <c r="Z131" i="2"/>
  <c r="U131" i="2"/>
  <c r="W131" i="2"/>
  <c r="R131" i="2"/>
  <c r="S131" i="2"/>
  <c r="V131" i="2"/>
  <c r="X131" i="2"/>
  <c r="D131" i="2"/>
  <c r="C131" i="2"/>
  <c r="J131" i="2"/>
  <c r="E131" i="2"/>
  <c r="G131" i="2"/>
  <c r="F131" i="2"/>
  <c r="AH71" i="2"/>
  <c r="C119" i="2"/>
  <c r="O6" i="13"/>
  <c r="O6" i="14"/>
  <c r="AI49" i="2"/>
  <c r="AH97" i="2"/>
  <c r="C7" i="16"/>
  <c r="AJ97" i="2"/>
  <c r="O6" i="2"/>
  <c r="AK17" i="6"/>
  <c r="AI18" i="6" s="1"/>
  <c r="AI22" i="6" s="1"/>
  <c r="AK86" i="6"/>
  <c r="AK85" i="6" s="1"/>
  <c r="AK9" i="6" s="1"/>
  <c r="AK7" i="6"/>
  <c r="AJ8" i="6" s="1"/>
  <c r="AJ13" i="6" s="1"/>
  <c r="U130" i="2"/>
  <c r="O131" i="2"/>
  <c r="P131" i="2"/>
  <c r="K131" i="2"/>
  <c r="L131" i="2"/>
  <c r="Q131" i="2"/>
  <c r="N131" i="2"/>
  <c r="F118" i="2"/>
  <c r="AE134" i="2"/>
  <c r="AF134" i="2"/>
  <c r="AF133" i="2"/>
  <c r="AE133" i="2"/>
  <c r="O19" i="2"/>
  <c r="P8" i="14"/>
  <c r="P8" i="13"/>
  <c r="D9" i="16"/>
  <c r="O14" i="2"/>
  <c r="D4" i="16"/>
  <c r="P3" i="14"/>
  <c r="P3" i="13"/>
  <c r="D10" i="16"/>
  <c r="P9" i="13"/>
  <c r="P9" i="14"/>
  <c r="O20" i="2"/>
  <c r="AH122" i="2"/>
  <c r="AI74" i="2"/>
  <c r="G70" i="2"/>
  <c r="G118" i="2" s="1"/>
  <c r="G107" i="2"/>
  <c r="AC130" i="2" s="1"/>
  <c r="H59" i="2"/>
  <c r="H48" i="2"/>
  <c r="H96" i="2" s="1"/>
  <c r="H85" i="2"/>
  <c r="J15" i="3"/>
  <c r="I4" i="3"/>
  <c r="I5" i="3" s="1"/>
  <c r="I6" i="3" s="1"/>
  <c r="I37" i="2" s="1"/>
  <c r="AH121" i="2"/>
  <c r="AI73" i="2"/>
  <c r="H130" i="2"/>
  <c r="Z128" i="2" l="1"/>
  <c r="AD128" i="2"/>
  <c r="AH68" i="2"/>
  <c r="AH116" i="2" s="1"/>
  <c r="Y128" i="2"/>
  <c r="AC128" i="2"/>
  <c r="AB128" i="2"/>
  <c r="AH105" i="2"/>
  <c r="AA128" i="2"/>
  <c r="AE128" i="2"/>
  <c r="X128" i="2"/>
  <c r="W128" i="2"/>
  <c r="R128" i="2"/>
  <c r="AA130" i="2"/>
  <c r="AH119" i="2"/>
  <c r="AI71" i="2"/>
  <c r="AK8" i="6"/>
  <c r="AK13" i="6" s="1"/>
  <c r="AI8" i="6"/>
  <c r="AI13" i="6" s="1"/>
  <c r="AB130" i="2"/>
  <c r="AD130" i="2"/>
  <c r="P6" i="13"/>
  <c r="O17" i="2"/>
  <c r="P6" i="14"/>
  <c r="D7" i="16"/>
  <c r="Y130" i="2"/>
  <c r="AJ18" i="6"/>
  <c r="AJ22" i="6" s="1"/>
  <c r="AK18" i="6"/>
  <c r="AK22" i="6" s="1"/>
  <c r="Z130" i="2"/>
  <c r="K15" i="3"/>
  <c r="J4" i="3"/>
  <c r="J5" i="3" s="1"/>
  <c r="J6" i="3" s="1"/>
  <c r="J37" i="2" s="1"/>
  <c r="H70" i="2"/>
  <c r="H118" i="2" s="1"/>
  <c r="H107" i="2"/>
  <c r="G18" i="10"/>
  <c r="AE18" i="10"/>
  <c r="AD18" i="10"/>
  <c r="E18" i="10"/>
  <c r="B18" i="10"/>
  <c r="L18" i="10"/>
  <c r="Z18" i="10"/>
  <c r="J18" i="10"/>
  <c r="I18" i="10"/>
  <c r="Y18" i="10"/>
  <c r="AB18" i="10"/>
  <c r="R18" i="10"/>
  <c r="T18" i="10"/>
  <c r="N18" i="10"/>
  <c r="AF18" i="10"/>
  <c r="W18" i="10"/>
  <c r="X18" i="10"/>
  <c r="AC18" i="10"/>
  <c r="AA18" i="10"/>
  <c r="K18" i="10"/>
  <c r="S18" i="10"/>
  <c r="V18" i="10"/>
  <c r="Q18" i="10"/>
  <c r="U18" i="10"/>
  <c r="H18" i="10"/>
  <c r="O18" i="10"/>
  <c r="C18" i="10"/>
  <c r="D18" i="10"/>
  <c r="F18" i="10"/>
  <c r="P18" i="10"/>
  <c r="M18" i="10"/>
  <c r="I59" i="2"/>
  <c r="I48" i="2"/>
  <c r="I85" i="2"/>
  <c r="I130" i="2"/>
  <c r="AI68" i="2" l="1"/>
  <c r="J130" i="2"/>
  <c r="L15" i="3"/>
  <c r="K4" i="3"/>
  <c r="K5" i="3" s="1"/>
  <c r="K6" i="3" s="1"/>
  <c r="K37" i="2" s="1"/>
  <c r="J59" i="2"/>
  <c r="J48" i="2"/>
  <c r="J96" i="2" s="1"/>
  <c r="J85" i="2"/>
  <c r="I96" i="2"/>
  <c r="I70" i="2"/>
  <c r="I107" i="2"/>
  <c r="J70" i="2" l="1"/>
  <c r="J118" i="2" s="1"/>
  <c r="J107" i="2"/>
  <c r="K59" i="2"/>
  <c r="K48" i="2"/>
  <c r="K96" i="2" s="1"/>
  <c r="K85" i="2"/>
  <c r="L130" i="2"/>
  <c r="K130" i="2"/>
  <c r="M15" i="3"/>
  <c r="L4" i="3"/>
  <c r="L5" i="3" s="1"/>
  <c r="L6" i="3" s="1"/>
  <c r="L37" i="2" s="1"/>
  <c r="I118" i="2"/>
  <c r="N15" i="3" l="1"/>
  <c r="M4" i="3"/>
  <c r="M5" i="3" s="1"/>
  <c r="M6" i="3" s="1"/>
  <c r="M37" i="2" s="1"/>
  <c r="K70" i="2"/>
  <c r="K118" i="2" s="1"/>
  <c r="K107" i="2"/>
  <c r="M130" i="2"/>
  <c r="L59" i="2"/>
  <c r="L48" i="2"/>
  <c r="L96" i="2" s="1"/>
  <c r="L85" i="2"/>
  <c r="L70" i="2" l="1"/>
  <c r="L118" i="2" s="1"/>
  <c r="L107" i="2"/>
  <c r="N130" i="2"/>
  <c r="M59" i="2"/>
  <c r="M48" i="2"/>
  <c r="M96" i="2" s="1"/>
  <c r="M85" i="2"/>
  <c r="O15" i="3"/>
  <c r="N4" i="3"/>
  <c r="N5" i="3" s="1"/>
  <c r="N6" i="3" s="1"/>
  <c r="N37" i="2" s="1"/>
  <c r="P15" i="3" l="1"/>
  <c r="O4" i="3"/>
  <c r="O5" i="3" s="1"/>
  <c r="O6" i="3" s="1"/>
  <c r="O37" i="2" s="1"/>
  <c r="M70" i="2"/>
  <c r="M118" i="2" s="1"/>
  <c r="M107" i="2"/>
  <c r="O130" i="2"/>
  <c r="N59" i="2"/>
  <c r="N48" i="2"/>
  <c r="N96" i="2" s="1"/>
  <c r="N85" i="2"/>
  <c r="Q15" i="3" l="1"/>
  <c r="P4" i="3"/>
  <c r="P5" i="3" s="1"/>
  <c r="P6" i="3" s="1"/>
  <c r="P37" i="2" s="1"/>
  <c r="N70" i="2"/>
  <c r="N118" i="2" s="1"/>
  <c r="N107" i="2"/>
  <c r="P130" i="2"/>
  <c r="O59" i="2"/>
  <c r="O48" i="2"/>
  <c r="O96" i="2" s="1"/>
  <c r="O85" i="2"/>
  <c r="O70" i="2" l="1"/>
  <c r="O118" i="2" s="1"/>
  <c r="O107" i="2"/>
  <c r="Q130" i="2"/>
  <c r="P59" i="2"/>
  <c r="P48" i="2"/>
  <c r="P96" i="2" s="1"/>
  <c r="P85" i="2"/>
  <c r="R15" i="3"/>
  <c r="Q4" i="3"/>
  <c r="Q5" i="3" s="1"/>
  <c r="Q6" i="3" s="1"/>
  <c r="Q37" i="2" s="1"/>
  <c r="P70" i="2" l="1"/>
  <c r="P118" i="2" s="1"/>
  <c r="P107" i="2"/>
  <c r="S15" i="3"/>
  <c r="R4" i="3"/>
  <c r="R5" i="3" s="1"/>
  <c r="R6" i="3" s="1"/>
  <c r="R130" i="2"/>
  <c r="Q59" i="2"/>
  <c r="Q48" i="2"/>
  <c r="Q85" i="2"/>
  <c r="AH37" i="2"/>
  <c r="AH85" i="2" l="1"/>
  <c r="AI37" i="2"/>
  <c r="Q96" i="2"/>
  <c r="AH48" i="2"/>
  <c r="Q70" i="2"/>
  <c r="Q107" i="2"/>
  <c r="T130" i="2" s="1"/>
  <c r="AH59" i="2"/>
  <c r="T15" i="3"/>
  <c r="S4" i="3"/>
  <c r="S5" i="3" s="1"/>
  <c r="S6" i="3" s="1"/>
  <c r="S130" i="2"/>
  <c r="AH107" i="2" l="1"/>
  <c r="AI59" i="2"/>
  <c r="U15" i="3"/>
  <c r="T4" i="3"/>
  <c r="T5" i="3" s="1"/>
  <c r="T6" i="3" s="1"/>
  <c r="Q118" i="2"/>
  <c r="AH70" i="2"/>
  <c r="AJ96" i="2"/>
  <c r="O5" i="13"/>
  <c r="O5" i="14"/>
  <c r="C6" i="16"/>
  <c r="AI48" i="2"/>
  <c r="AH96" i="2"/>
  <c r="O5" i="2"/>
  <c r="AF130" i="2" l="1"/>
  <c r="AE130" i="2"/>
  <c r="O16" i="2"/>
  <c r="D6" i="16"/>
  <c r="P5" i="14"/>
  <c r="P5" i="13"/>
  <c r="AH118" i="2"/>
  <c r="AI70" i="2"/>
  <c r="V15" i="3"/>
  <c r="U4" i="3"/>
  <c r="U5" i="3" s="1"/>
  <c r="U6" i="3" s="1"/>
  <c r="T8" i="10" l="1"/>
  <c r="T4" i="10" s="1"/>
  <c r="J8" i="10"/>
  <c r="J4" i="10" s="1"/>
  <c r="J42" i="2" s="1"/>
  <c r="E8" i="10"/>
  <c r="E4" i="10" s="1"/>
  <c r="E42" i="2" s="1"/>
  <c r="W8" i="10"/>
  <c r="W4" i="10" s="1"/>
  <c r="M8" i="10"/>
  <c r="M4" i="10" s="1"/>
  <c r="M42" i="2" s="1"/>
  <c r="C8" i="10"/>
  <c r="C4" i="10" s="1"/>
  <c r="C42" i="2" s="1"/>
  <c r="X8" i="10"/>
  <c r="X4" i="10" s="1"/>
  <c r="H8" i="10"/>
  <c r="H4" i="10" s="1"/>
  <c r="H42" i="2" s="1"/>
  <c r="AA8" i="10"/>
  <c r="AA4" i="10" s="1"/>
  <c r="Q8" i="10"/>
  <c r="Q4" i="10" s="1"/>
  <c r="Q42" i="2" s="1"/>
  <c r="K8" i="10"/>
  <c r="K4" i="10" s="1"/>
  <c r="K42" i="2" s="1"/>
  <c r="AF8" i="10"/>
  <c r="AF4" i="10" s="1"/>
  <c r="D8" i="10"/>
  <c r="D4" i="10" s="1"/>
  <c r="D42" i="2" s="1"/>
  <c r="O8" i="10"/>
  <c r="O4" i="10" s="1"/>
  <c r="O42" i="2" s="1"/>
  <c r="G8" i="10"/>
  <c r="G4" i="10" s="1"/>
  <c r="G42" i="2" s="1"/>
  <c r="V8" i="10"/>
  <c r="V4" i="10" s="1"/>
  <c r="N8" i="10"/>
  <c r="N4" i="10" s="1"/>
  <c r="N42" i="2" s="1"/>
  <c r="AD8" i="10"/>
  <c r="AD4" i="10" s="1"/>
  <c r="AC8" i="10"/>
  <c r="AC4" i="10" s="1"/>
  <c r="B8" i="10"/>
  <c r="B4" i="10" s="1"/>
  <c r="R8" i="10"/>
  <c r="R4" i="10" s="1"/>
  <c r="Z8" i="10"/>
  <c r="Z4" i="10" s="1"/>
  <c r="Y8" i="10"/>
  <c r="Y4" i="10" s="1"/>
  <c r="P8" i="10"/>
  <c r="P4" i="10" s="1"/>
  <c r="P42" i="2" s="1"/>
  <c r="I8" i="10"/>
  <c r="I4" i="10" s="1"/>
  <c r="I42" i="2" s="1"/>
  <c r="U8" i="10"/>
  <c r="U4" i="10" s="1"/>
  <c r="S8" i="10"/>
  <c r="S4" i="10" s="1"/>
  <c r="AB8" i="10"/>
  <c r="AB4" i="10" s="1"/>
  <c r="F8" i="10"/>
  <c r="F4" i="10" s="1"/>
  <c r="F42" i="2" s="1"/>
  <c r="AE8" i="10"/>
  <c r="AE4" i="10" s="1"/>
  <c r="L8" i="10"/>
  <c r="L4" i="10" s="1"/>
  <c r="L42" i="2" s="1"/>
  <c r="W15" i="3"/>
  <c r="V4" i="3"/>
  <c r="V5" i="3" s="1"/>
  <c r="V6" i="3" s="1"/>
  <c r="K53" i="2" l="1"/>
  <c r="K101" i="2" s="1"/>
  <c r="K90" i="2"/>
  <c r="K64" i="2"/>
  <c r="E53" i="2"/>
  <c r="E101" i="2" s="1"/>
  <c r="E90" i="2"/>
  <c r="E64" i="2"/>
  <c r="O64" i="2"/>
  <c r="O90" i="2"/>
  <c r="O53" i="2"/>
  <c r="O101" i="2" s="1"/>
  <c r="D53" i="2"/>
  <c r="D101" i="2" s="1"/>
  <c r="D64" i="2"/>
  <c r="D90" i="2"/>
  <c r="Q90" i="2"/>
  <c r="Q53" i="2"/>
  <c r="Q101" i="2" s="1"/>
  <c r="Q64" i="2"/>
  <c r="J64" i="2"/>
  <c r="J53" i="2"/>
  <c r="J101" i="2" s="1"/>
  <c r="J90" i="2"/>
  <c r="AH42" i="2"/>
  <c r="C64" i="2"/>
  <c r="C53" i="2"/>
  <c r="C90" i="2"/>
  <c r="M64" i="2"/>
  <c r="M53" i="2"/>
  <c r="M101" i="2" s="1"/>
  <c r="M90" i="2"/>
  <c r="X15" i="3"/>
  <c r="W4" i="3"/>
  <c r="W5" i="3" s="1"/>
  <c r="W6" i="3" s="1"/>
  <c r="I53" i="2"/>
  <c r="I101" i="2" s="1"/>
  <c r="I90" i="2"/>
  <c r="I64" i="2"/>
  <c r="N53" i="2"/>
  <c r="N101" i="2" s="1"/>
  <c r="N90" i="2"/>
  <c r="N64" i="2"/>
  <c r="F64" i="2"/>
  <c r="F53" i="2"/>
  <c r="F101" i="2" s="1"/>
  <c r="F90" i="2"/>
  <c r="L90" i="2"/>
  <c r="L64" i="2"/>
  <c r="L53" i="2"/>
  <c r="L101" i="2" s="1"/>
  <c r="P53" i="2"/>
  <c r="P101" i="2" s="1"/>
  <c r="P64" i="2"/>
  <c r="P90" i="2"/>
  <c r="H64" i="2"/>
  <c r="H53" i="2"/>
  <c r="H101" i="2" s="1"/>
  <c r="H90" i="2"/>
  <c r="G64" i="2"/>
  <c r="G90" i="2"/>
  <c r="G53" i="2"/>
  <c r="G101" i="2" s="1"/>
  <c r="J75" i="2" l="1"/>
  <c r="J123" i="2" s="1"/>
  <c r="J112" i="2"/>
  <c r="M112" i="2"/>
  <c r="M75" i="2"/>
  <c r="M123" i="2" s="1"/>
  <c r="O112" i="2"/>
  <c r="O75" i="2"/>
  <c r="O123" i="2" s="1"/>
  <c r="G75" i="2"/>
  <c r="G123" i="2" s="1"/>
  <c r="G112" i="2"/>
  <c r="L112" i="2"/>
  <c r="L75" i="2"/>
  <c r="L123" i="2" s="1"/>
  <c r="I112" i="2"/>
  <c r="I75" i="2"/>
  <c r="I123" i="2" s="1"/>
  <c r="E75" i="2"/>
  <c r="E123" i="2" s="1"/>
  <c r="E112" i="2"/>
  <c r="Q75" i="2"/>
  <c r="Q123" i="2" s="1"/>
  <c r="Q112" i="2"/>
  <c r="AH53" i="2"/>
  <c r="C101" i="2"/>
  <c r="C75" i="2"/>
  <c r="AH64" i="2"/>
  <c r="C112" i="2"/>
  <c r="AH90" i="2"/>
  <c r="AI42" i="2"/>
  <c r="D75" i="2"/>
  <c r="D123" i="2" s="1"/>
  <c r="D112" i="2"/>
  <c r="K75" i="2"/>
  <c r="K123" i="2" s="1"/>
  <c r="K112" i="2"/>
  <c r="H112" i="2"/>
  <c r="H75" i="2"/>
  <c r="H123" i="2" s="1"/>
  <c r="Y15" i="3"/>
  <c r="X4" i="3"/>
  <c r="X5" i="3" s="1"/>
  <c r="X6" i="3" s="1"/>
  <c r="F112" i="2"/>
  <c r="F75" i="2"/>
  <c r="F123" i="2" s="1"/>
  <c r="P75" i="2"/>
  <c r="P123" i="2" s="1"/>
  <c r="P112" i="2"/>
  <c r="N75" i="2"/>
  <c r="N123" i="2" s="1"/>
  <c r="N112" i="2"/>
  <c r="E135" i="2" l="1"/>
  <c r="T135" i="2"/>
  <c r="Q135" i="2"/>
  <c r="J135" i="2"/>
  <c r="X135" i="2"/>
  <c r="V135" i="2"/>
  <c r="U135" i="2"/>
  <c r="W135" i="2"/>
  <c r="S135" i="2"/>
  <c r="H135" i="2"/>
  <c r="AB135" i="2"/>
  <c r="Z135" i="2"/>
  <c r="AD135" i="2"/>
  <c r="AA135" i="2"/>
  <c r="Y135" i="2"/>
  <c r="AC135" i="2"/>
  <c r="M135" i="2"/>
  <c r="O135" i="2"/>
  <c r="I135" i="2"/>
  <c r="G135" i="2"/>
  <c r="F135" i="2"/>
  <c r="Z15" i="3"/>
  <c r="Y4" i="3"/>
  <c r="Y5" i="3" s="1"/>
  <c r="Y6" i="3" s="1"/>
  <c r="C135" i="2"/>
  <c r="D135" i="2"/>
  <c r="R135" i="2"/>
  <c r="AI64" i="2"/>
  <c r="AH112" i="2"/>
  <c r="O10" i="13"/>
  <c r="O12" i="13" s="1"/>
  <c r="C11" i="16"/>
  <c r="C13" i="16" s="1"/>
  <c r="AH101" i="2"/>
  <c r="AI53" i="2"/>
  <c r="AJ101" i="2"/>
  <c r="O10" i="14"/>
  <c r="O12" i="14" s="1"/>
  <c r="O10" i="2"/>
  <c r="N135" i="2"/>
  <c r="C123" i="2"/>
  <c r="AH75" i="2"/>
  <c r="L135" i="2"/>
  <c r="K135" i="2"/>
  <c r="P135" i="2"/>
  <c r="D11" i="16" l="1"/>
  <c r="D13" i="16" s="1"/>
  <c r="P10" i="13"/>
  <c r="P12" i="13" s="1"/>
  <c r="P10" i="14"/>
  <c r="P12" i="14" s="1"/>
  <c r="O21" i="2"/>
  <c r="AH123" i="2"/>
  <c r="AI75" i="2"/>
  <c r="AA15" i="3"/>
  <c r="Z4" i="3"/>
  <c r="Z5" i="3" s="1"/>
  <c r="Z6" i="3" s="1"/>
  <c r="AE135" i="2"/>
  <c r="AF135" i="2"/>
  <c r="AA8" i="2"/>
  <c r="O12" i="2"/>
  <c r="AB15" i="3" l="1"/>
  <c r="AA4" i="3"/>
  <c r="AA5" i="3" s="1"/>
  <c r="AA6" i="3" s="1"/>
  <c r="Z8" i="2"/>
  <c r="O23" i="2"/>
  <c r="AC15" i="3" l="1"/>
  <c r="AB4" i="3"/>
  <c r="AB5" i="3" s="1"/>
  <c r="AB6" i="3" s="1"/>
  <c r="AD15" i="3" l="1"/>
  <c r="AC4" i="3"/>
  <c r="AC5" i="3" s="1"/>
  <c r="AC6" i="3" s="1"/>
  <c r="AE15" i="3" l="1"/>
  <c r="AD4" i="3"/>
  <c r="AD5" i="3" s="1"/>
  <c r="AD6" i="3" s="1"/>
  <c r="AF15" i="3" l="1"/>
  <c r="AF4" i="3" s="1"/>
  <c r="AF5" i="3" s="1"/>
  <c r="AF6" i="3" s="1"/>
  <c r="AE4" i="3"/>
  <c r="AE5" i="3" s="1"/>
  <c r="AE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Gohlke</author>
  </authors>
  <commentList>
    <comment ref="B80" authorId="0" shapeId="0" xr:uid="{00000000-0006-0000-0000-000001000000}">
      <text>
        <r>
          <rPr>
            <b/>
            <sz val="9"/>
            <color indexed="81"/>
            <rFont val="Tahoma"/>
            <family val="2"/>
          </rPr>
          <t>David Gohlke:</t>
        </r>
        <r>
          <rPr>
            <sz val="9"/>
            <color indexed="81"/>
            <rFont val="Tahoma"/>
            <family val="2"/>
          </rPr>
          <t xml:space="preserve">
Taking NPV of cash-flow stream and taking the NPV of mileage and dividing the two is the same answer as converting all costs to annuities.  Annuities are generally more straightforward to calculate, but we have a varying VMT which is well-known, so it's easy to generate a 'discounted' VMT</t>
        </r>
      </text>
    </comment>
    <comment ref="B127" authorId="0" shapeId="0" xr:uid="{00000000-0006-0000-0000-000002000000}">
      <text>
        <r>
          <rPr>
            <b/>
            <sz val="9"/>
            <color indexed="81"/>
            <rFont val="Tahoma"/>
            <family val="2"/>
          </rPr>
          <t>David Gohlke:</t>
        </r>
        <r>
          <rPr>
            <sz val="9"/>
            <color indexed="81"/>
            <rFont val="Tahoma"/>
            <family val="2"/>
          </rPr>
          <t xml:space="preserve">
This graphic bins driving by 10k increments and determines how much of each annual factor is attributed to each bin.
These costs are not discounted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Gohlke</author>
  </authors>
  <commentList>
    <comment ref="A16" authorId="0" shapeId="0" xr:uid="{00000000-0006-0000-0500-000001000000}">
      <text>
        <r>
          <rPr>
            <b/>
            <sz val="9"/>
            <color indexed="81"/>
            <rFont val="Tahoma"/>
            <family val="2"/>
          </rPr>
          <t>David Gohlke:</t>
        </r>
        <r>
          <rPr>
            <sz val="9"/>
            <color indexed="81"/>
            <rFont val="Tahoma"/>
            <family val="2"/>
          </rPr>
          <t xml:space="preserve">
*Plot* this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Gohlke</author>
  </authors>
  <commentList>
    <comment ref="B25" authorId="0" shapeId="0" xr:uid="{00000000-0006-0000-0800-000001000000}">
      <text>
        <r>
          <rPr>
            <b/>
            <sz val="9"/>
            <color indexed="81"/>
            <rFont val="Tahoma"/>
            <family val="2"/>
          </rPr>
          <t>David Gohlke:</t>
        </r>
        <r>
          <rPr>
            <sz val="9"/>
            <color indexed="81"/>
            <rFont val="Tahoma"/>
            <family val="2"/>
          </rPr>
          <t xml:space="preserve">
These could be a function of vehicle cost, or any other idea</t>
        </r>
      </text>
    </comment>
    <comment ref="D25" authorId="0" shapeId="0" xr:uid="{00000000-0006-0000-0800-000002000000}">
      <text>
        <r>
          <rPr>
            <b/>
            <sz val="9"/>
            <color indexed="81"/>
            <rFont val="Tahoma"/>
            <family val="2"/>
          </rPr>
          <t>David Gohlke:</t>
        </r>
        <r>
          <rPr>
            <sz val="9"/>
            <color indexed="81"/>
            <rFont val="Tahoma"/>
            <family val="2"/>
          </rPr>
          <t xml:space="preserve">
Can't be zero for 1/0 errors.</t>
        </r>
      </text>
    </comment>
  </commentList>
</comments>
</file>

<file path=xl/sharedStrings.xml><?xml version="1.0" encoding="utf-8"?>
<sst xmlns="http://schemas.openxmlformats.org/spreadsheetml/2006/main" count="2524" uniqueCount="550">
  <si>
    <t>Year</t>
  </si>
  <si>
    <t>Fuel Price</t>
  </si>
  <si>
    <t>Fuel Economy</t>
  </si>
  <si>
    <t>Economic parameters:</t>
  </si>
  <si>
    <t>Financing</t>
  </si>
  <si>
    <t>Depreciation</t>
  </si>
  <si>
    <t>VMT schedule</t>
  </si>
  <si>
    <t>(TRUE or FALSE)</t>
  </si>
  <si>
    <t>Technological parameters:</t>
  </si>
  <si>
    <t>Powertrain</t>
  </si>
  <si>
    <t>Discount rate</t>
  </si>
  <si>
    <t>Analysis window</t>
  </si>
  <si>
    <t>Repeat VMT</t>
  </si>
  <si>
    <t>Cost</t>
  </si>
  <si>
    <t>VMT</t>
  </si>
  <si>
    <t>Cumulative VMT</t>
  </si>
  <si>
    <t>First service VMT</t>
  </si>
  <si>
    <t>Transmission</t>
  </si>
  <si>
    <t>Engine</t>
  </si>
  <si>
    <t>Other2</t>
  </si>
  <si>
    <t>Assume linear spacing of scheduled &amp; expected maintenance.</t>
  </si>
  <si>
    <t>Fees</t>
  </si>
  <si>
    <t>Purchase cost</t>
  </si>
  <si>
    <t>Maintenance</t>
  </si>
  <si>
    <t>Vehicle Cost</t>
  </si>
  <si>
    <t>Insurance</t>
  </si>
  <si>
    <t>Insurance (total)</t>
  </si>
  <si>
    <t>Fuel price (per GGE)</t>
  </si>
  <si>
    <t>Fuel price (per mile)</t>
  </si>
  <si>
    <t>Annual fuel expenditures</t>
  </si>
  <si>
    <t>Annual fuel price increase</t>
  </si>
  <si>
    <t>HV Battery</t>
  </si>
  <si>
    <t>FC stack</t>
  </si>
  <si>
    <t>Finance rate</t>
  </si>
  <si>
    <t>Downpayment percentage</t>
  </si>
  <si>
    <t>Vehicle Payments</t>
  </si>
  <si>
    <t>Finance term</t>
  </si>
  <si>
    <t>Monthly payment</t>
  </si>
  <si>
    <t>Interest Payments</t>
  </si>
  <si>
    <t>Vehicle</t>
  </si>
  <si>
    <t>Repair</t>
  </si>
  <si>
    <t>Taxes &amp; fees</t>
  </si>
  <si>
    <t>ICE-SI</t>
  </si>
  <si>
    <t>ICE-CI</t>
  </si>
  <si>
    <t>PHEV</t>
  </si>
  <si>
    <t>FCEV</t>
  </si>
  <si>
    <t>BEV</t>
  </si>
  <si>
    <t>Powertrains</t>
  </si>
  <si>
    <t>Diesel</t>
  </si>
  <si>
    <t>Hydrogen</t>
  </si>
  <si>
    <t>Fuels</t>
  </si>
  <si>
    <t>CNG</t>
  </si>
  <si>
    <t>Electric</t>
  </si>
  <si>
    <t>Biofuel</t>
  </si>
  <si>
    <t>Fuel</t>
  </si>
  <si>
    <t>Vehicle size</t>
  </si>
  <si>
    <t>Small SUV</t>
  </si>
  <si>
    <t>Compact sedan</t>
  </si>
  <si>
    <t>Midsize sedan</t>
  </si>
  <si>
    <t>Medium SUV</t>
  </si>
  <si>
    <t>Pickup</t>
  </si>
  <si>
    <t>Size</t>
  </si>
  <si>
    <t>Maintenance costs</t>
  </si>
  <si>
    <t>Smoothed</t>
  </si>
  <si>
    <t>EPA TAR, cars</t>
  </si>
  <si>
    <t>EPA TAR, trucks</t>
  </si>
  <si>
    <t>NHTSA, cars</t>
  </si>
  <si>
    <t>NHTSA, trucks</t>
  </si>
  <si>
    <t>EPA TAR, scrapped cars</t>
  </si>
  <si>
    <t>EPA TAR, scrapped trucks</t>
  </si>
  <si>
    <t>NHTSA, scrapped cars</t>
  </si>
  <si>
    <t>NHTSA, scrapped trucks</t>
  </si>
  <si>
    <t>Annual VMT</t>
  </si>
  <si>
    <t>Survivability rate</t>
  </si>
  <si>
    <t>EPA TAR 2016, cars</t>
  </si>
  <si>
    <t>EPA TAR 2016, trucks</t>
  </si>
  <si>
    <t>NHTSA 2006, trucks</t>
  </si>
  <si>
    <t>NHTSA 2006, cars</t>
  </si>
  <si>
    <t>Pull-down list</t>
  </si>
  <si>
    <t>Powertrain-specific fuels</t>
  </si>
  <si>
    <t>Scaling factor for each maintenance cost by powertrain</t>
  </si>
  <si>
    <t>Maintenance activity</t>
  </si>
  <si>
    <t>Body</t>
  </si>
  <si>
    <t>Maintenance &amp; repair costs</t>
  </si>
  <si>
    <t>Mileage</t>
  </si>
  <si>
    <t>Operational</t>
  </si>
  <si>
    <t>Operational / Logistic costs incurred</t>
  </si>
  <si>
    <t>Labor</t>
  </si>
  <si>
    <t>Cost per mile</t>
  </si>
  <si>
    <t>Include labor costs</t>
  </si>
  <si>
    <t>Vehicle loan</t>
  </si>
  <si>
    <t>Single-unit multipurpose truck</t>
  </si>
  <si>
    <t>Single-unit freight truck (general)</t>
  </si>
  <si>
    <t>Single-unit freight truck (HHD)</t>
  </si>
  <si>
    <t>Single-unit freight truck (MHD)</t>
  </si>
  <si>
    <t>Single-unit freight truck (LHD))</t>
  </si>
  <si>
    <t>MPG degradation per year</t>
  </si>
  <si>
    <t>Fuel Economy (MPGGE, real-world)</t>
  </si>
  <si>
    <t>Model Year</t>
  </si>
  <si>
    <t>Luxury Car</t>
  </si>
  <si>
    <t>Luxury Light truck</t>
  </si>
  <si>
    <t>Taxi</t>
  </si>
  <si>
    <t>BEV200 car</t>
  </si>
  <si>
    <t>Single-unit service truck (HHD)</t>
  </si>
  <si>
    <t>Single-unit service truck (MHD)</t>
  </si>
  <si>
    <t>Single-unit service truck (LHD))</t>
  </si>
  <si>
    <t>Single-unit service truck (general)</t>
  </si>
  <si>
    <t>Tractor - Sleeper Cab</t>
  </si>
  <si>
    <t>Tractor - Day Cab</t>
  </si>
  <si>
    <t>Tractor - Long-haul</t>
  </si>
  <si>
    <t>Tractor - Regional</t>
  </si>
  <si>
    <t>Tractor - Local</t>
  </si>
  <si>
    <t>Bus</t>
  </si>
  <si>
    <t>1 to N (total)</t>
  </si>
  <si>
    <t>1 to N (average)</t>
  </si>
  <si>
    <t>Tractor - Sleeper</t>
  </si>
  <si>
    <t>Tractor - Day cab</t>
  </si>
  <si>
    <t>Class 8 Vocational</t>
  </si>
  <si>
    <t>Class 8 Bus</t>
  </si>
  <si>
    <t>Luxury compact</t>
  </si>
  <si>
    <t>Luxury midsize car</t>
  </si>
  <si>
    <t>Luxury small SUV</t>
  </si>
  <si>
    <t>Luxury medium SUV</t>
  </si>
  <si>
    <t>Luxury pickup</t>
  </si>
  <si>
    <t>Class 6 - Pickup/Delivery</t>
  </si>
  <si>
    <t>Class 3 - Pickup/Delivery</t>
  </si>
  <si>
    <t>Model Year 2020 - low tech</t>
  </si>
  <si>
    <t>Model Year 2025 - low tech</t>
  </si>
  <si>
    <t>Model Year 2030 - low tech</t>
  </si>
  <si>
    <t>Model Year 2035 - low tech</t>
  </si>
  <si>
    <t>Model Year 2050 - low tech</t>
  </si>
  <si>
    <t>User-defined</t>
  </si>
  <si>
    <t>Vehicle cost &amp; fuel-economy inputs</t>
  </si>
  <si>
    <t>Model Year 2020 - high tech</t>
  </si>
  <si>
    <t>Model Year 2025 - high tech</t>
  </si>
  <si>
    <t>Model Year 2030 - high tech</t>
  </si>
  <si>
    <t>Model Year 2035 - high tech</t>
  </si>
  <si>
    <t>Model Year 2050 - high tech</t>
  </si>
  <si>
    <t>Class 8 Refuse</t>
  </si>
  <si>
    <t>Fuel Economy (LDV MPGGE, HDV MPDGE)</t>
  </si>
  <si>
    <t>Vehicle data</t>
  </si>
  <si>
    <t>User-Defined</t>
  </si>
  <si>
    <t>Autonomie simulations</t>
  </si>
  <si>
    <t>Vehicle trim</t>
  </si>
  <si>
    <t>Base</t>
  </si>
  <si>
    <t>Premium</t>
  </si>
  <si>
    <t>AEO - Model Year 2025</t>
  </si>
  <si>
    <t>AEO 2020</t>
  </si>
  <si>
    <t>Low</t>
  </si>
  <si>
    <t>High</t>
  </si>
  <si>
    <t>Years</t>
  </si>
  <si>
    <t>Autonomie LDV RPE markup factor</t>
  </si>
  <si>
    <t>Autonomie technology progress</t>
  </si>
  <si>
    <t>Vehicle size, trim, &amp; vocation</t>
  </si>
  <si>
    <t>Salvage value</t>
  </si>
  <si>
    <t>Contact Dave Gohlke   gohlke@anl.gov   with any questions</t>
  </si>
  <si>
    <t>Autonomie Vehicle tech progress</t>
  </si>
  <si>
    <t>Vehicle Modeling</t>
  </si>
  <si>
    <t>Powertrain and fuel assumptions</t>
  </si>
  <si>
    <t>Vehicle usage and economics</t>
  </si>
  <si>
    <t>7-speed Aup</t>
  </si>
  <si>
    <t>BEV200 + 15% charging loss</t>
  </si>
  <si>
    <t>PHEV20+15% charging loss</t>
  </si>
  <si>
    <t>LDV BEV range</t>
  </si>
  <si>
    <t>BEV200-$</t>
  </si>
  <si>
    <t>BEV300-$</t>
  </si>
  <si>
    <t>BEV400-$</t>
  </si>
  <si>
    <t>BEV200-mpg</t>
  </si>
  <si>
    <t>BEV300-mpg</t>
  </si>
  <si>
    <t>BEV400-mpg</t>
  </si>
  <si>
    <t>LDV BEV Range</t>
  </si>
  <si>
    <t>Per-Mile Driving Costs</t>
  </si>
  <si>
    <t>Vehicle Pricipal Payment</t>
  </si>
  <si>
    <t>PHEV20-$</t>
  </si>
  <si>
    <t>PHEV50-$</t>
  </si>
  <si>
    <t>PHEV50-mpg</t>
  </si>
  <si>
    <t>PHEV20-mpg</t>
  </si>
  <si>
    <t>BEV range</t>
  </si>
  <si>
    <t>PHEV range</t>
  </si>
  <si>
    <t>LDV PHEV Range</t>
  </si>
  <si>
    <t>Short</t>
  </si>
  <si>
    <t>Long</t>
  </si>
  <si>
    <t>Gasoline (regular)</t>
  </si>
  <si>
    <t>Gasoline (premium)</t>
  </si>
  <si>
    <t>LDV PHEV range</t>
  </si>
  <si>
    <t>Loan amount</t>
  </si>
  <si>
    <t>Total loan payment</t>
  </si>
  <si>
    <t>Downpayment amount</t>
  </si>
  <si>
    <t>ICE-SI -- Luxury</t>
  </si>
  <si>
    <t>ICE-CI -- Luxury</t>
  </si>
  <si>
    <t>PHEV -- Luxury</t>
  </si>
  <si>
    <t>FCEV -- Luxury</t>
  </si>
  <si>
    <t>BEV -- Luxury</t>
  </si>
  <si>
    <t>Luxury:</t>
  </si>
  <si>
    <t>Fuel price</t>
  </si>
  <si>
    <t>User defined</t>
  </si>
  <si>
    <t>Incremental changes (including 0%) from Energy Use Task inputs</t>
  </si>
  <si>
    <t>HDV RPE markup factor</t>
  </si>
  <si>
    <t>Selected Vehicle</t>
  </si>
  <si>
    <t>Pull-down size</t>
  </si>
  <si>
    <t>Vehicle modeling parameters:</t>
  </si>
  <si>
    <t>Payload opportunity costs</t>
  </si>
  <si>
    <t>Extra payload cost</t>
  </si>
  <si>
    <t>Tornado plots</t>
  </si>
  <si>
    <t>Per mile</t>
  </si>
  <si>
    <t>Baseline</t>
  </si>
  <si>
    <t>Sum total</t>
  </si>
  <si>
    <t>Low $/mi</t>
  </si>
  <si>
    <t>Low Sum</t>
  </si>
  <si>
    <t>Avg $/mi</t>
  </si>
  <si>
    <t>High $/mi</t>
  </si>
  <si>
    <t>Variable 1</t>
  </si>
  <si>
    <t>Variable 2</t>
  </si>
  <si>
    <t>Variable 3</t>
  </si>
  <si>
    <t>Variable 4</t>
  </si>
  <si>
    <t>Variable 5</t>
  </si>
  <si>
    <t>Variable 6</t>
  </si>
  <si>
    <t>Variable 7</t>
  </si>
  <si>
    <t>Variable 8</t>
  </si>
  <si>
    <t>Avg Sum</t>
  </si>
  <si>
    <t>High Sum</t>
  </si>
  <si>
    <t>Current Run (copy/paste)</t>
  </si>
  <si>
    <t>Fueling mileage multiplier</t>
  </si>
  <si>
    <t>Vehicle Incentive (Policy)</t>
  </si>
  <si>
    <t>15th percentile, car</t>
  </si>
  <si>
    <t>85th percentile, car</t>
  </si>
  <si>
    <t>15th percentile, light truck</t>
  </si>
  <si>
    <t>85th percentile, light truck</t>
  </si>
  <si>
    <t>Sale year</t>
  </si>
  <si>
    <t>Start year</t>
  </si>
  <si>
    <t>Stop year</t>
  </si>
  <si>
    <t>Battery size (kWh)</t>
  </si>
  <si>
    <t>Battery Value ($/kWh)</t>
  </si>
  <si>
    <t>Battery size</t>
  </si>
  <si>
    <t>PHEV_UF</t>
  </si>
  <si>
    <t>LDV PHEV utility factor</t>
  </si>
  <si>
    <t>Utility Factor</t>
  </si>
  <si>
    <t>PHEV Utility Factor</t>
  </si>
  <si>
    <t>Minimum scrappage value</t>
  </si>
  <si>
    <t>Battery salvage curve</t>
  </si>
  <si>
    <t>Residual battery value</t>
  </si>
  <si>
    <t>Used purchase year</t>
  </si>
  <si>
    <t>Vehicle Value</t>
  </si>
  <si>
    <t>Start year (0=NEW)</t>
  </si>
  <si>
    <t>Age</t>
  </si>
  <si>
    <t>LDV Size Class Adjustment</t>
  </si>
  <si>
    <t>Vehicle multiplier</t>
  </si>
  <si>
    <t>LDV retained value</t>
  </si>
  <si>
    <t>Annualized depreciation</t>
  </si>
  <si>
    <t>HDV retained value</t>
  </si>
  <si>
    <t>(using Class 8 Box)</t>
  </si>
  <si>
    <t>(Class 4 Step)</t>
  </si>
  <si>
    <t>(Class 6 Box)</t>
  </si>
  <si>
    <t>Depreciation regression analyses</t>
  </si>
  <si>
    <t>Depreciated Value, Simple</t>
  </si>
  <si>
    <t>Annual Vehicle Depreciation</t>
  </si>
  <si>
    <t>Un-discounting scaling</t>
  </si>
  <si>
    <t>None</t>
  </si>
  <si>
    <t>Vehicle only</t>
  </si>
  <si>
    <t>Battery only</t>
  </si>
  <si>
    <t>Vehicle + Battery</t>
  </si>
  <si>
    <t>Value</t>
  </si>
  <si>
    <t>--------&gt;</t>
  </si>
  <si>
    <t>Discounted sales value</t>
  </si>
  <si>
    <t>Total (100%)</t>
  </si>
  <si>
    <t>Simple depreciation rate</t>
  </si>
  <si>
    <t>Insurance (liability)</t>
  </si>
  <si>
    <t>Insurance liability</t>
  </si>
  <si>
    <t>Average</t>
  </si>
  <si>
    <t>Min</t>
  </si>
  <si>
    <t>Max</t>
  </si>
  <si>
    <t>+SD1</t>
  </si>
  <si>
    <t>-SD1</t>
  </si>
  <si>
    <t>Insurance scenario</t>
  </si>
  <si>
    <t>Minimum</t>
  </si>
  <si>
    <t>Maximum</t>
  </si>
  <si>
    <t>+1 SD</t>
  </si>
  <si>
    <t>-1 SD</t>
  </si>
  <si>
    <t>Insurance (comprehensive)</t>
  </si>
  <si>
    <t>Deductible</t>
  </si>
  <si>
    <t>Car</t>
  </si>
  <si>
    <t>SUV</t>
  </si>
  <si>
    <t>Comprehensive premium</t>
  </si>
  <si>
    <t>Engine Oil*</t>
  </si>
  <si>
    <t>Oil Filter*</t>
  </si>
  <si>
    <t>Tire Rotation</t>
  </si>
  <si>
    <t>Wiper Blades</t>
  </si>
  <si>
    <t>Cabin Air Filter</t>
  </si>
  <si>
    <t>Multi-point Inspection</t>
  </si>
  <si>
    <t>Engine Air Filter*</t>
  </si>
  <si>
    <t>Brake Fluid</t>
  </si>
  <si>
    <t>Tires Replaced***</t>
  </si>
  <si>
    <t>Brake Pads***</t>
  </si>
  <si>
    <t>Pb-Ac Battery</t>
  </si>
  <si>
    <t>Spark Plugs*</t>
  </si>
  <si>
    <t>Headlight Bulbs</t>
  </si>
  <si>
    <t>Transmission Service*</t>
  </si>
  <si>
    <t>Timing Belt*</t>
  </si>
  <si>
    <t>Accessory Drive Belt*</t>
  </si>
  <si>
    <t>HVAC Service</t>
  </si>
  <si>
    <t>Brake Rotors***</t>
  </si>
  <si>
    <t>Engine Coolant*</t>
  </si>
  <si>
    <t>EV Battery Coolant*</t>
  </si>
  <si>
    <t>Fuel Filter*</t>
  </si>
  <si>
    <t>Brake Calipers***</t>
  </si>
  <si>
    <t>Price per service for relevant powertrain</t>
  </si>
  <si>
    <t>Annual Driving Cash Flows
(not discounted)</t>
  </si>
  <si>
    <t>Annual Driving Cash Flows
(discounted)</t>
  </si>
  <si>
    <t>Smoothed major repair</t>
  </si>
  <si>
    <t>Per-Mile Driving Cash Flows</t>
  </si>
  <si>
    <t>SU Service +1sig</t>
  </si>
  <si>
    <t>SU Service -1sig</t>
  </si>
  <si>
    <t>SU Freight +1 sig</t>
  </si>
  <si>
    <t>SU Freight -1 sig</t>
  </si>
  <si>
    <t>Sleeper +1sig</t>
  </si>
  <si>
    <t>Sleeper -1sig</t>
  </si>
  <si>
    <t>Daycab +1 sig</t>
  </si>
  <si>
    <t>Daycab -1 sig</t>
  </si>
  <si>
    <t>Bus +1sig</t>
  </si>
  <si>
    <t>Bus -1sig</t>
  </si>
  <si>
    <t>Selected powertrain</t>
  </si>
  <si>
    <t>Annual vehicle registration</t>
  </si>
  <si>
    <t>Sales tax</t>
  </si>
  <si>
    <t>Initial vehicle registration</t>
  </si>
  <si>
    <t>Documentation fee</t>
  </si>
  <si>
    <t>Other (parking, tolls, auto clubs, inspection, license)</t>
  </si>
  <si>
    <t>"Discounted" VMT</t>
  </si>
  <si>
    <t>Total</t>
  </si>
  <si>
    <t>High Case</t>
  </si>
  <si>
    <t>Low Case</t>
  </si>
  <si>
    <t>Flat or incremental changes from first year</t>
  </si>
  <si>
    <t>Energy Use task prices (other fuel: E85 or kWh)</t>
  </si>
  <si>
    <t>Energy Use task prices ($/kWh for HDV)</t>
  </si>
  <si>
    <t>AEO2020, ref</t>
  </si>
  <si>
    <t>AEO2020, residential</t>
  </si>
  <si>
    <t>AEO2020, transportation</t>
  </si>
  <si>
    <t>Energy Use task prices (dge, for HDV)</t>
  </si>
  <si>
    <t>Energy Use task prices (gge, for LDV)</t>
  </si>
  <si>
    <t>AEO2020, natural gas transportation (from Segmentation)</t>
  </si>
  <si>
    <t>AEO2020, natural gas transportation with AFDC markup (from Segmentation)</t>
  </si>
  <si>
    <t>H2 HFTO success?</t>
  </si>
  <si>
    <t>AEO2020, E85</t>
  </si>
  <si>
    <t>AEO2020, E85 low oil</t>
  </si>
  <si>
    <t>AEO2020, E85 high oil</t>
  </si>
  <si>
    <t>AEO2020, low oil</t>
  </si>
  <si>
    <t>AEO2020, high oil</t>
  </si>
  <si>
    <t>Borlaug 2020 high</t>
  </si>
  <si>
    <t>Borlaug 2020 low</t>
  </si>
  <si>
    <t>User-defined: (EIA + Biofuel asymptote + Hydrogen asymptote + Premium markup + CNG markup)</t>
  </si>
  <si>
    <t>Fuel prices</t>
  </si>
  <si>
    <t>Low price sensitivity</t>
  </si>
  <si>
    <t>High price sensitivity</t>
  </si>
  <si>
    <t>Behavioral/fleet parameters:</t>
  </si>
  <si>
    <t>Powertrain selection</t>
  </si>
  <si>
    <t>HD maintenance</t>
  </si>
  <si>
    <t>Enhanced exponential depreciation</t>
  </si>
  <si>
    <t>Simple exponential</t>
  </si>
  <si>
    <t>Advanced exponential</t>
  </si>
  <si>
    <t>Depreciated Value, Advanced exponential</t>
  </si>
  <si>
    <t>Depreciated Value, User-defined</t>
  </si>
  <si>
    <t>Selected:</t>
  </si>
  <si>
    <t>Value, between 0-15% good</t>
  </si>
  <si>
    <t>Low-sensitivity</t>
  </si>
  <si>
    <t>High-sensitivity</t>
  </si>
  <si>
    <t>Annual Ownership Costs
(not discounted)</t>
  </si>
  <si>
    <t>Annual Ownership Costs
(discounted)</t>
  </si>
  <si>
    <t>Per-Mile Driving Asset Flows
(annuitized costs &amp; VMT)</t>
  </si>
  <si>
    <t>Total Cost</t>
  </si>
  <si>
    <t>Per-Mile Cost</t>
  </si>
  <si>
    <t>Pull-down list (select source data first)</t>
  </si>
  <si>
    <t>LDV</t>
  </si>
  <si>
    <t>HDV</t>
  </si>
  <si>
    <t>(using Box truck)</t>
  </si>
  <si>
    <t>(using MD van)</t>
  </si>
  <si>
    <t>(using Bus)</t>
  </si>
  <si>
    <t>(using Refuse)</t>
  </si>
  <si>
    <t>(using utility non-aerial)</t>
  </si>
  <si>
    <t>Depreciated Value, Upper</t>
  </si>
  <si>
    <t>Depreciated Value, Lower</t>
  </si>
  <si>
    <t>Per-Mile Driving Costs
(non-discounted)</t>
  </si>
  <si>
    <t>Per-Mile Driving Costs
(discounted)</t>
  </si>
  <si>
    <t>HDV schedule</t>
  </si>
  <si>
    <t>HDV smoothed</t>
  </si>
  <si>
    <t>LDV Scheduled maintenance</t>
  </si>
  <si>
    <t>LDV Smoothed scheduled maintenance</t>
  </si>
  <si>
    <t>HDV repair</t>
  </si>
  <si>
    <t>HDV repair smoothed</t>
  </si>
  <si>
    <t>LDV Repair Curve</t>
  </si>
  <si>
    <t>Major unscheduled repair</t>
  </si>
  <si>
    <t>Confidence-Low</t>
  </si>
  <si>
    <t>Confidence-High</t>
  </si>
  <si>
    <t>AEO2020, commercial</t>
  </si>
  <si>
    <t>Burnham 2017</t>
  </si>
  <si>
    <t>Assumptions</t>
  </si>
  <si>
    <t>Results</t>
  </si>
  <si>
    <t>Loan rate</t>
  </si>
  <si>
    <t>Analysis start year</t>
  </si>
  <si>
    <t>Analysis end year</t>
  </si>
  <si>
    <t>Labor cost per mile</t>
  </si>
  <si>
    <t>Excise tax</t>
  </si>
  <si>
    <t>Highway use tax</t>
  </si>
  <si>
    <t>Statistical repair schedule</t>
  </si>
  <si>
    <t>Oxygen Sensor</t>
  </si>
  <si>
    <t>Shocks and Struts</t>
  </si>
  <si>
    <t>Size multiplier</t>
  </si>
  <si>
    <t>Powertrain multiplier</t>
  </si>
  <si>
    <t>Repair aging factor</t>
  </si>
  <si>
    <t>LDV Repair Curve (per mile)</t>
  </si>
  <si>
    <t>File Version</t>
  </si>
  <si>
    <t>Date</t>
  </si>
  <si>
    <t>Prem+Elec</t>
  </si>
  <si>
    <t>Gas+Elec</t>
  </si>
  <si>
    <t>Dies+Elec</t>
  </si>
  <si>
    <t>LDV Fees</t>
  </si>
  <si>
    <t>HDV Fees</t>
  </si>
  <si>
    <t>Weight</t>
  </si>
  <si>
    <t>PHEV20-weight</t>
  </si>
  <si>
    <t>PHEV50-weight</t>
  </si>
  <si>
    <t>BEV200-weight</t>
  </si>
  <si>
    <t>BEV300-weight</t>
  </si>
  <si>
    <t>BEV400-weight</t>
  </si>
  <si>
    <t>Vehicle weight</t>
  </si>
  <si>
    <t>($443 suggested without weight)</t>
  </si>
  <si>
    <t>HDV powertrain maintenance adjustment</t>
  </si>
  <si>
    <t>Tolls</t>
  </si>
  <si>
    <t>(per mile)</t>
  </si>
  <si>
    <t>Registration</t>
  </si>
  <si>
    <t>HEV</t>
  </si>
  <si>
    <t>(Data from analysis by Desai, Muratori, and Gohlke. PHEV weighed average of HEV &amp; BEV)</t>
  </si>
  <si>
    <t>(PHEV weighted average of HEV &amp; BEV.  FCEV same as for class 8)</t>
  </si>
  <si>
    <t>(Average of class 6 and LDV powertrain multipliers)</t>
  </si>
  <si>
    <t>(From ATRI, 2018, including wages &amp; benefits)</t>
  </si>
  <si>
    <t>HEV -- Luxury</t>
  </si>
  <si>
    <t>Insurance (total, LDV)</t>
  </si>
  <si>
    <t>Insurance (liability + cargo)</t>
  </si>
  <si>
    <t>Insurance (physical damage)</t>
  </si>
  <si>
    <t>Insurance (total, HDV)</t>
  </si>
  <si>
    <t>Permits and Licenses</t>
  </si>
  <si>
    <t>Comprehensive cutoff</t>
  </si>
  <si>
    <t>per month (per mil)</t>
  </si>
  <si>
    <t>per mile</t>
  </si>
  <si>
    <t>HDV physical damage insurance</t>
  </si>
  <si>
    <t>HDV insurance fixed costs</t>
  </si>
  <si>
    <t>Powertrain specific</t>
  </si>
  <si>
    <t>Multiplier</t>
  </si>
  <si>
    <t>Fuel selection</t>
  </si>
  <si>
    <t>Selected Fuel</t>
  </si>
  <si>
    <t>Labor cost per hour</t>
  </si>
  <si>
    <t>Charge rate</t>
  </si>
  <si>
    <t>kW</t>
  </si>
  <si>
    <t>Alt fuel weight allowance</t>
  </si>
  <si>
    <t>Tractor insurance</t>
  </si>
  <si>
    <t>HDV insurance</t>
  </si>
  <si>
    <t>BEV Class 8 sleeper Desai</t>
  </si>
  <si>
    <t>HEV Class 8 sleeper Desai</t>
  </si>
  <si>
    <t>Cargo Weights</t>
  </si>
  <si>
    <t>Avg lost payload</t>
  </si>
  <si>
    <t>Fractional loss</t>
  </si>
  <si>
    <t>Charging time labor</t>
  </si>
  <si>
    <t>Extra charging time labor</t>
  </si>
  <si>
    <t>Downtime opportunity costs</t>
  </si>
  <si>
    <t>Downtime opportunity cost</t>
  </si>
  <si>
    <t>Average downtime</t>
  </si>
  <si>
    <t>Cargo Weight</t>
  </si>
  <si>
    <t>Cargo Mass</t>
  </si>
  <si>
    <t>Vehicle cargo weight</t>
  </si>
  <si>
    <t>Lost capacity</t>
  </si>
  <si>
    <t>Density function:</t>
  </si>
  <si>
    <t>Pounds lost</t>
  </si>
  <si>
    <t>Max cargo</t>
  </si>
  <si>
    <t>Max weight</t>
  </si>
  <si>
    <t>500+</t>
  </si>
  <si>
    <t>1000+</t>
  </si>
  <si>
    <t>1500+</t>
  </si>
  <si>
    <t>2000+</t>
  </si>
  <si>
    <t>2500+</t>
  </si>
  <si>
    <t>3000+</t>
  </si>
  <si>
    <t>3500+</t>
  </si>
  <si>
    <t>4000+</t>
  </si>
  <si>
    <t>4500+</t>
  </si>
  <si>
    <t>5000+</t>
  </si>
  <si>
    <t>5500+</t>
  </si>
  <si>
    <t>6000+</t>
  </si>
  <si>
    <t>6500+</t>
  </si>
  <si>
    <t>7000+</t>
  </si>
  <si>
    <t>7500+</t>
  </si>
  <si>
    <t>8000+</t>
  </si>
  <si>
    <t>8500+</t>
  </si>
  <si>
    <t>9000+</t>
  </si>
  <si>
    <t>9500+</t>
  </si>
  <si>
    <t>10000+</t>
  </si>
  <si>
    <t>10500+</t>
  </si>
  <si>
    <t>11000+</t>
  </si>
  <si>
    <t>11500+</t>
  </si>
  <si>
    <t>12000+</t>
  </si>
  <si>
    <t>12500+</t>
  </si>
  <si>
    <t>13000+</t>
  </si>
  <si>
    <t>13500+</t>
  </si>
  <si>
    <t>14000+</t>
  </si>
  <si>
    <t>14500+</t>
  </si>
  <si>
    <t>15000+</t>
  </si>
  <si>
    <t>15500+</t>
  </si>
  <si>
    <t>16000+</t>
  </si>
  <si>
    <t>16500+</t>
  </si>
  <si>
    <t>17000+</t>
  </si>
  <si>
    <t>17500+</t>
  </si>
  <si>
    <t>18000+</t>
  </si>
  <si>
    <t>18500+</t>
  </si>
  <si>
    <t>19000+</t>
  </si>
  <si>
    <t>19500+</t>
  </si>
  <si>
    <t>20000+</t>
  </si>
  <si>
    <t>20500+</t>
  </si>
  <si>
    <t>21000+</t>
  </si>
  <si>
    <t>21500+</t>
  </si>
  <si>
    <t>22000+</t>
  </si>
  <si>
    <t>22500+</t>
  </si>
  <si>
    <t>23000+</t>
  </si>
  <si>
    <t>23500+</t>
  </si>
  <si>
    <t>24000+</t>
  </si>
  <si>
    <t>24500+</t>
  </si>
  <si>
    <t>0+</t>
  </si>
  <si>
    <t>(using Semi-Tractor)</t>
  </si>
  <si>
    <t>Variable (CTIHQ)</t>
  </si>
  <si>
    <t>FCEV Class 8 Desai</t>
  </si>
  <si>
    <t>Heavy Truck</t>
  </si>
  <si>
    <t>Class 6 (Desai)</t>
  </si>
  <si>
    <t>Class 3 (Desai)</t>
  </si>
  <si>
    <t>Major end-of-life repairs</t>
  </si>
  <si>
    <t>Component</t>
  </si>
  <si>
    <t>To graph: copy-paste these columns manually (including the header)</t>
  </si>
  <si>
    <t>Scheduled</t>
  </si>
  <si>
    <t>Other</t>
  </si>
  <si>
    <t>Major LDV repairs (separate from above data - numbers not particularly accurate)</t>
  </si>
  <si>
    <t>Real-world Prices (sales-weighted 2019; base MSRP)</t>
  </si>
  <si>
    <t>Real-world MPG (sales weighted harmonic mean, EPA sticker, base trim)</t>
  </si>
  <si>
    <t>Real-world weight (not calculated)</t>
  </si>
  <si>
    <t/>
  </si>
  <si>
    <t>AEO model year 2020 MPG</t>
  </si>
  <si>
    <t>AEO model year 2020 $</t>
  </si>
  <si>
    <t>AEO weight - not used</t>
  </si>
  <si>
    <t>Real-World</t>
  </si>
  <si>
    <t>CR matrix</t>
  </si>
  <si>
    <t>ICE</t>
  </si>
  <si>
    <t>&lt;50k</t>
  </si>
  <si>
    <t>&gt;100k</t>
  </si>
  <si>
    <t>50-100k</t>
  </si>
  <si>
    <t>CR maintenance cumulative</t>
  </si>
  <si>
    <t>CR M&amp;R</t>
  </si>
  <si>
    <t>Consumer Reports</t>
  </si>
  <si>
    <t>LDV Consumer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</si>
</sst>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8" formatCode="&quot;$&quot;#,##0.00_);[Red]\(&quot;$&quot;#,##0.00\)"/>
    <numFmt numFmtId="44" formatCode="_(&quot;$&quot;* #,##0.00_);_(&quot;$&quot;* \(#,##0.00\);_(&quot;$&quot;* &quot;-&quot;??_);_(@_)"/>
    <numFmt numFmtId="164" formatCode="0.0%"/>
    <numFmt numFmtId="165" formatCode="0.0"/>
    <numFmt numFmtId="166" formatCode="&quot;$&quot;#,##0.00"/>
    <numFmt numFmtId="167" formatCode="&quot;$&quot;#,##0"/>
    <numFmt numFmtId="168" formatCode="#,&quot;k&quot;;;0"/>
    <numFmt numFmtId="169" formatCode="_(&quot;$&quot;* #,##0.0000_);_(&quot;$&quot;* \(#,##0.0000\);_(&quot;$&quot;* &quot;-&quot;??_);_(@_)"/>
    <numFmt numFmtId="170" formatCode="_(&quot;$&quot;* #,##0.0000_);_(&quot;$&quot;* \(#,##0.0000\);_(&quot;$&quot;* &quot;-&quot;????_);_(@_)"/>
    <numFmt numFmtId="171" formatCode="0.0000"/>
    <numFmt numFmtId="172" formatCode="&quot;$&quot;#,##0.0000"/>
    <numFmt numFmtId="173" formatCode="&quot;$&quot;#,##0.00000_);[Red]\(&quot;$&quot;#,##0.00000\)"/>
    <numFmt numFmtId="174" formatCode="0.000"/>
    <numFmt numFmtId="175" formatCode="&quot;$&quot;#,##0.000"/>
    <numFmt numFmtId="176" formatCode="&quot;$&quot;#,##0.000000_);[Red]\(&quot;$&quot;#,##0.000000\)"/>
    <numFmt numFmtId="177" formatCode="0.00000"/>
    <numFmt numFmtId="178" formatCode="&quot;$&quot;#,##0.000_);[Red]\(&quot;$&quot;#,##0.0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sz val="11"/>
      <color theme="8"/>
      <name val="Calibri"/>
      <family val="2"/>
      <scheme val="minor"/>
    </font>
    <font>
      <sz val="11"/>
      <color rgb="FF000000"/>
      <name val="Calibri"/>
      <family val="2"/>
      <scheme val="minor"/>
    </font>
    <font>
      <sz val="11"/>
      <color theme="2" tint="-9.9978637043366805E-2"/>
      <name val="Calibri"/>
      <family val="2"/>
      <scheme val="minor"/>
    </font>
    <font>
      <sz val="11"/>
      <name val="Calibri"/>
      <family val="2"/>
      <scheme val="minor"/>
    </font>
    <font>
      <sz val="10"/>
      <color theme="1"/>
      <name val="Calibri"/>
      <family val="2"/>
    </font>
    <font>
      <sz val="11"/>
      <color theme="1"/>
      <name val="Calibri"/>
      <family val="2"/>
    </font>
    <font>
      <b/>
      <sz val="14"/>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s>
  <borders count="27">
    <border>
      <left/>
      <right/>
      <top/>
      <bottom/>
      <diagonal/>
    </border>
    <border>
      <left/>
      <right style="thin">
        <color theme="4" tint="0.39997558519241921"/>
      </right>
      <top style="thin">
        <color theme="4" tint="0.39997558519241921"/>
      </top>
      <bottom style="thin">
        <color theme="4" tint="0.39997558519241921"/>
      </bottom>
      <diagonal/>
    </border>
    <border>
      <left style="thick">
        <color auto="1"/>
      </left>
      <right style="thin">
        <color auto="1"/>
      </right>
      <top style="thick">
        <color auto="1"/>
      </top>
      <bottom style="hair">
        <color auto="1"/>
      </bottom>
      <diagonal/>
    </border>
    <border>
      <left style="thin">
        <color auto="1"/>
      </left>
      <right style="thick">
        <color auto="1"/>
      </right>
      <top style="thick">
        <color auto="1"/>
      </top>
      <bottom style="hair">
        <color auto="1"/>
      </bottom>
      <diagonal/>
    </border>
    <border>
      <left style="thick">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thin">
        <color auto="1"/>
      </top>
      <bottom style="hair">
        <color auto="1"/>
      </bottom>
      <diagonal/>
    </border>
    <border>
      <left style="thin">
        <color auto="1"/>
      </left>
      <right style="thick">
        <color auto="1"/>
      </right>
      <top style="thin">
        <color auto="1"/>
      </top>
      <bottom style="hair">
        <color auto="1"/>
      </bottom>
      <diagonal/>
    </border>
    <border>
      <left style="thick">
        <color auto="1"/>
      </left>
      <right style="thin">
        <color auto="1"/>
      </right>
      <top style="hair">
        <color auto="1"/>
      </top>
      <bottom style="thin">
        <color auto="1"/>
      </bottom>
      <diagonal/>
    </border>
    <border>
      <left style="thin">
        <color auto="1"/>
      </left>
      <right style="thick">
        <color auto="1"/>
      </right>
      <top style="hair">
        <color auto="1"/>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ck">
        <color auto="1"/>
      </right>
      <top style="thick">
        <color auto="1"/>
      </top>
      <bottom style="hair">
        <color auto="1"/>
      </bottom>
      <diagonal/>
    </border>
    <border>
      <left style="thick">
        <color auto="1"/>
      </left>
      <right style="thin">
        <color auto="1"/>
      </right>
      <top style="hair">
        <color auto="1"/>
      </top>
      <bottom style="thick">
        <color auto="1"/>
      </bottom>
      <diagonal/>
    </border>
    <border>
      <left/>
      <right style="thick">
        <color auto="1"/>
      </right>
      <top style="hair">
        <color auto="1"/>
      </top>
      <bottom style="thick">
        <color auto="1"/>
      </bottom>
      <diagonal/>
    </border>
    <border>
      <left style="thick">
        <color auto="1"/>
      </left>
      <right style="thin">
        <color auto="1"/>
      </right>
      <top/>
      <bottom/>
      <diagonal/>
    </border>
    <border>
      <left style="thin">
        <color auto="1"/>
      </left>
      <right style="thick">
        <color auto="1"/>
      </right>
      <top/>
      <bottom/>
      <diagonal/>
    </border>
    <border>
      <left style="thin">
        <color auto="1"/>
      </left>
      <right style="thick">
        <color auto="1"/>
      </right>
      <top style="hair">
        <color auto="1"/>
      </top>
      <bottom style="thick">
        <color auto="1"/>
      </bottom>
      <diagonal/>
    </border>
  </borders>
  <cellStyleXfs count="5">
    <xf numFmtId="0" fontId="0" fillId="0" borderId="0"/>
    <xf numFmtId="44" fontId="1" fillId="0" borderId="0" applyFont="0" applyFill="0" applyBorder="0" applyAlignment="0" applyProtection="0"/>
    <xf numFmtId="0" fontId="1" fillId="0" borderId="0"/>
    <xf numFmtId="9" fontId="1" fillId="0" borderId="0" applyFont="0" applyFill="0" applyBorder="0" applyAlignment="0" applyProtection="0"/>
    <xf numFmtId="0" fontId="10" fillId="0" borderId="0"/>
  </cellStyleXfs>
  <cellXfs count="140">
    <xf numFmtId="0" fontId="0" fillId="0" borderId="0" xfId="0"/>
    <xf numFmtId="0" fontId="2" fillId="0" borderId="0" xfId="0" applyFont="1"/>
    <xf numFmtId="0" fontId="0" fillId="2" borderId="0" xfId="0" applyFill="1"/>
    <xf numFmtId="164" fontId="0" fillId="2" borderId="0" xfId="0" applyNumberFormat="1" applyFill="1"/>
    <xf numFmtId="9" fontId="0" fillId="2" borderId="0" xfId="0" applyNumberFormat="1" applyFill="1"/>
    <xf numFmtId="44" fontId="0" fillId="0" borderId="0" xfId="1" applyFont="1"/>
    <xf numFmtId="0" fontId="0" fillId="3" borderId="0" xfId="0" applyFill="1"/>
    <xf numFmtId="8" fontId="0" fillId="2" borderId="0" xfId="0" applyNumberFormat="1" applyFill="1"/>
    <xf numFmtId="44" fontId="0" fillId="2" borderId="0" xfId="1" applyFont="1" applyFill="1"/>
    <xf numFmtId="44" fontId="0" fillId="3" borderId="0" xfId="1" applyFont="1" applyFill="1"/>
    <xf numFmtId="165" fontId="0" fillId="0" borderId="0" xfId="0" applyNumberFormat="1"/>
    <xf numFmtId="166" fontId="0" fillId="0" borderId="0" xfId="1" applyNumberFormat="1" applyFont="1"/>
    <xf numFmtId="167" fontId="0" fillId="0" borderId="0" xfId="1" applyNumberFormat="1" applyFont="1"/>
    <xf numFmtId="168" fontId="0" fillId="0" borderId="0" xfId="0" applyNumberFormat="1"/>
    <xf numFmtId="166" fontId="0" fillId="0" borderId="0" xfId="0" applyNumberFormat="1"/>
    <xf numFmtId="166" fontId="0" fillId="2" borderId="0" xfId="0" applyNumberFormat="1" applyFill="1"/>
    <xf numFmtId="3" fontId="1" fillId="0" borderId="0" xfId="2" applyNumberFormat="1"/>
    <xf numFmtId="0" fontId="1" fillId="0" borderId="0" xfId="2"/>
    <xf numFmtId="10" fontId="0" fillId="2" borderId="0" xfId="0" applyNumberFormat="1" applyFill="1"/>
    <xf numFmtId="1" fontId="0" fillId="0" borderId="1" xfId="0" applyNumberFormat="1" applyFont="1" applyBorder="1"/>
    <xf numFmtId="0" fontId="2" fillId="5" borderId="0" xfId="0" applyFont="1" applyFill="1"/>
    <xf numFmtId="0" fontId="0" fillId="5" borderId="0" xfId="0" applyFill="1"/>
    <xf numFmtId="0" fontId="2" fillId="0" borderId="0" xfId="0" applyFont="1" applyAlignment="1">
      <alignment horizontal="center" vertical="center" textRotation="90"/>
    </xf>
    <xf numFmtId="0" fontId="6" fillId="0" borderId="0" xfId="0" applyFont="1"/>
    <xf numFmtId="1" fontId="0" fillId="0" borderId="0" xfId="1" applyNumberFormat="1" applyFont="1"/>
    <xf numFmtId="169" fontId="0" fillId="0" borderId="0" xfId="1" applyNumberFormat="1" applyFont="1"/>
    <xf numFmtId="8" fontId="0" fillId="0" borderId="0" xfId="0" applyNumberFormat="1"/>
    <xf numFmtId="0" fontId="0" fillId="7" borderId="0" xfId="0" applyFill="1"/>
    <xf numFmtId="8" fontId="0" fillId="8" borderId="0" xfId="0" applyNumberFormat="1" applyFill="1"/>
    <xf numFmtId="0" fontId="0" fillId="8" borderId="0" xfId="0" applyFill="1"/>
    <xf numFmtId="169" fontId="0" fillId="0" borderId="0" xfId="0" applyNumberFormat="1"/>
    <xf numFmtId="170" fontId="0" fillId="0" borderId="0" xfId="0" applyNumberFormat="1"/>
    <xf numFmtId="0" fontId="2" fillId="0" borderId="0" xfId="0" applyFont="1" applyAlignment="1">
      <alignment horizontal="center" vertical="center" textRotation="90"/>
    </xf>
    <xf numFmtId="0" fontId="5" fillId="4" borderId="0" xfId="0" applyFont="1" applyFill="1" applyAlignment="1">
      <alignment horizontal="center"/>
    </xf>
    <xf numFmtId="0" fontId="0" fillId="6" borderId="0" xfId="0" applyFill="1"/>
    <xf numFmtId="2" fontId="0" fillId="0" borderId="0" xfId="0" applyNumberFormat="1"/>
    <xf numFmtId="171" fontId="0" fillId="0" borderId="0" xfId="0" applyNumberFormat="1"/>
    <xf numFmtId="10" fontId="7" fillId="0" borderId="0" xfId="3" applyNumberFormat="1" applyFont="1"/>
    <xf numFmtId="0" fontId="0" fillId="0" borderId="0" xfId="0" applyNumberFormat="1"/>
    <xf numFmtId="0" fontId="0" fillId="0" borderId="0" xfId="0" quotePrefix="1"/>
    <xf numFmtId="0" fontId="0" fillId="0" borderId="0" xfId="0" quotePrefix="1" applyAlignment="1">
      <alignment horizontal="center" vertical="center"/>
    </xf>
    <xf numFmtId="10" fontId="0" fillId="0" borderId="0" xfId="3" applyNumberFormat="1" applyFont="1"/>
    <xf numFmtId="2" fontId="0" fillId="0" borderId="0" xfId="3" applyNumberFormat="1" applyFont="1"/>
    <xf numFmtId="0" fontId="0" fillId="0" borderId="0" xfId="0" applyFont="1"/>
    <xf numFmtId="0" fontId="0" fillId="0" borderId="0" xfId="0" quotePrefix="1" applyFont="1"/>
    <xf numFmtId="0" fontId="0" fillId="0" borderId="0" xfId="0" applyFill="1"/>
    <xf numFmtId="3" fontId="0" fillId="0" borderId="0" xfId="0" applyNumberFormat="1"/>
    <xf numFmtId="167" fontId="0" fillId="0" borderId="0" xfId="0" applyNumberFormat="1"/>
    <xf numFmtId="0" fontId="8" fillId="0" borderId="0" xfId="0" applyFont="1"/>
    <xf numFmtId="0" fontId="9" fillId="0" borderId="0" xfId="0" applyFont="1"/>
    <xf numFmtId="3" fontId="9" fillId="0" borderId="0" xfId="2" applyNumberFormat="1" applyFont="1"/>
    <xf numFmtId="3" fontId="8" fillId="0" borderId="0" xfId="2" applyNumberFormat="1" applyFont="1"/>
    <xf numFmtId="0" fontId="2" fillId="0" borderId="0" xfId="0" applyFont="1" applyFill="1"/>
    <xf numFmtId="0" fontId="0" fillId="9" borderId="0" xfId="0" applyFill="1"/>
    <xf numFmtId="10" fontId="0" fillId="6" borderId="0" xfId="3" applyNumberFormat="1" applyFont="1" applyFill="1"/>
    <xf numFmtId="169" fontId="2" fillId="0" borderId="0" xfId="1" applyNumberFormat="1" applyFont="1"/>
    <xf numFmtId="0" fontId="0" fillId="10" borderId="0" xfId="0" applyFill="1"/>
    <xf numFmtId="0" fontId="0" fillId="0" borderId="0" xfId="0" applyFont="1" applyFill="1"/>
    <xf numFmtId="10" fontId="0" fillId="0" borderId="0" xfId="3" applyNumberFormat="1" applyFont="1" applyFill="1"/>
    <xf numFmtId="0" fontId="2" fillId="2" borderId="0" xfId="0" applyFont="1" applyFill="1"/>
    <xf numFmtId="172" fontId="2" fillId="0" borderId="0" xfId="0" applyNumberFormat="1" applyFont="1"/>
    <xf numFmtId="167" fontId="2" fillId="0" borderId="0" xfId="0" applyNumberFormat="1" applyFont="1"/>
    <xf numFmtId="172" fontId="0" fillId="0" borderId="0" xfId="0" applyNumberForma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3" fontId="11" fillId="0" borderId="0" xfId="4" applyNumberFormat="1" applyFont="1"/>
    <xf numFmtId="173" fontId="0" fillId="0" borderId="0" xfId="0" applyNumberFormat="1"/>
    <xf numFmtId="172" fontId="0" fillId="0" borderId="0" xfId="1" applyNumberFormat="1" applyFont="1"/>
    <xf numFmtId="0" fontId="0" fillId="11" borderId="0" xfId="0" applyFill="1"/>
    <xf numFmtId="1" fontId="0" fillId="0" borderId="0" xfId="0" applyNumberFormat="1"/>
    <xf numFmtId="164" fontId="0" fillId="7" borderId="0" xfId="0" applyNumberFormat="1" applyFill="1"/>
    <xf numFmtId="166" fontId="0" fillId="11" borderId="0" xfId="0" applyNumberFormat="1" applyFill="1"/>
    <xf numFmtId="0" fontId="2" fillId="0" borderId="2" xfId="0" applyFont="1" applyBorder="1"/>
    <xf numFmtId="0" fontId="2" fillId="0" borderId="4" xfId="0" applyFont="1" applyBorder="1"/>
    <xf numFmtId="0" fontId="0" fillId="0" borderId="5" xfId="0" applyBorder="1" applyAlignment="1">
      <alignment horizontal="left"/>
    </xf>
    <xf numFmtId="10" fontId="0" fillId="0" borderId="5" xfId="0" applyNumberFormat="1" applyBorder="1" applyAlignment="1">
      <alignment horizontal="left"/>
    </xf>
    <xf numFmtId="0" fontId="2" fillId="0" borderId="4" xfId="0" applyFont="1" applyFill="1" applyBorder="1"/>
    <xf numFmtId="9" fontId="0" fillId="0" borderId="5" xfId="0" applyNumberFormat="1" applyBorder="1" applyAlignment="1">
      <alignment horizontal="left"/>
    </xf>
    <xf numFmtId="0" fontId="2" fillId="0" borderId="8" xfId="0" applyFont="1" applyBorder="1"/>
    <xf numFmtId="0" fontId="2" fillId="0" borderId="10" xfId="0" applyFont="1" applyBorder="1"/>
    <xf numFmtId="0" fontId="0" fillId="0" borderId="11" xfId="0" applyBorder="1" applyAlignment="1">
      <alignment horizontal="left"/>
    </xf>
    <xf numFmtId="0" fontId="2" fillId="0" borderId="12" xfId="0" applyFont="1" applyBorder="1"/>
    <xf numFmtId="9" fontId="0" fillId="0" borderId="11" xfId="0" applyNumberFormat="1" applyBorder="1" applyAlignment="1">
      <alignment horizontal="left"/>
    </xf>
    <xf numFmtId="0" fontId="0" fillId="0" borderId="13" xfId="0" applyBorder="1" applyAlignment="1">
      <alignment horizontal="left"/>
    </xf>
    <xf numFmtId="10" fontId="0" fillId="0" borderId="13" xfId="0" applyNumberFormat="1" applyBorder="1" applyAlignment="1">
      <alignment horizontal="left"/>
    </xf>
    <xf numFmtId="0" fontId="0" fillId="0" borderId="6" xfId="0" applyBorder="1"/>
    <xf numFmtId="0" fontId="2" fillId="0" borderId="18" xfId="0" applyFont="1" applyBorder="1"/>
    <xf numFmtId="0" fontId="2" fillId="0" borderId="2" xfId="0" applyFont="1" applyFill="1" applyBorder="1"/>
    <xf numFmtId="0" fontId="0" fillId="0" borderId="21" xfId="0" applyBorder="1" applyAlignment="1">
      <alignment horizontal="left"/>
    </xf>
    <xf numFmtId="0" fontId="2" fillId="0" borderId="22" xfId="0" applyFont="1" applyFill="1" applyBorder="1"/>
    <xf numFmtId="14" fontId="0" fillId="0" borderId="23" xfId="0" applyNumberFormat="1" applyBorder="1" applyAlignment="1">
      <alignment horizontal="left"/>
    </xf>
    <xf numFmtId="0" fontId="0" fillId="0" borderId="3" xfId="0" applyFill="1" applyBorder="1" applyAlignment="1">
      <alignment horizontal="left"/>
    </xf>
    <xf numFmtId="0" fontId="0" fillId="0" borderId="5" xfId="0" applyFill="1" applyBorder="1" applyAlignment="1">
      <alignment horizontal="left"/>
    </xf>
    <xf numFmtId="166" fontId="2" fillId="0" borderId="0" xfId="0" applyNumberFormat="1" applyFont="1" applyAlignment="1">
      <alignment shrinkToFit="1"/>
    </xf>
    <xf numFmtId="167" fontId="0" fillId="0" borderId="0" xfId="0" applyNumberFormat="1" applyAlignment="1">
      <alignment shrinkToFit="1"/>
    </xf>
    <xf numFmtId="6" fontId="0" fillId="4" borderId="0" xfId="0" applyNumberFormat="1" applyFill="1"/>
    <xf numFmtId="6" fontId="0" fillId="3" borderId="0" xfId="0" applyNumberFormat="1" applyFill="1"/>
    <xf numFmtId="0" fontId="2" fillId="0" borderId="24" xfId="0" applyFont="1" applyBorder="1"/>
    <xf numFmtId="9" fontId="0" fillId="0" borderId="25" xfId="0" applyNumberFormat="1" applyBorder="1" applyAlignment="1">
      <alignment horizontal="left"/>
    </xf>
    <xf numFmtId="2" fontId="0" fillId="3" borderId="0" xfId="0" applyNumberFormat="1" applyFill="1"/>
    <xf numFmtId="166" fontId="0" fillId="0" borderId="13" xfId="0" applyNumberFormat="1" applyBorder="1" applyAlignment="1">
      <alignment horizontal="left"/>
    </xf>
    <xf numFmtId="166" fontId="0" fillId="0" borderId="25" xfId="0" applyNumberFormat="1" applyBorder="1" applyAlignment="1">
      <alignment horizontal="left"/>
    </xf>
    <xf numFmtId="164" fontId="0" fillId="0" borderId="25" xfId="0" applyNumberFormat="1" applyBorder="1" applyAlignment="1">
      <alignment horizontal="left"/>
    </xf>
    <xf numFmtId="164" fontId="0" fillId="0" borderId="11" xfId="0" applyNumberFormat="1" applyBorder="1" applyAlignment="1">
      <alignment horizontal="left"/>
    </xf>
    <xf numFmtId="2" fontId="0" fillId="0" borderId="25" xfId="0" applyNumberFormat="1" applyBorder="1" applyAlignment="1">
      <alignment horizontal="left"/>
    </xf>
    <xf numFmtId="174" fontId="0" fillId="0" borderId="13" xfId="0" applyNumberFormat="1" applyBorder="1" applyAlignment="1">
      <alignment horizontal="left"/>
    </xf>
    <xf numFmtId="10" fontId="0" fillId="0" borderId="26" xfId="0" applyNumberFormat="1" applyBorder="1" applyAlignment="1">
      <alignment horizontal="left"/>
    </xf>
    <xf numFmtId="9" fontId="0" fillId="0" borderId="0" xfId="0" applyNumberFormat="1"/>
    <xf numFmtId="166" fontId="0" fillId="3" borderId="0" xfId="0" applyNumberFormat="1" applyFill="1"/>
    <xf numFmtId="0" fontId="0" fillId="12" borderId="0" xfId="0" applyFill="1"/>
    <xf numFmtId="175" fontId="0" fillId="2" borderId="0" xfId="0" applyNumberFormat="1" applyFill="1"/>
    <xf numFmtId="6" fontId="0" fillId="0" borderId="0" xfId="0" applyNumberFormat="1"/>
    <xf numFmtId="10" fontId="0" fillId="3" borderId="0" xfId="3" applyNumberFormat="1" applyFont="1" applyFill="1"/>
    <xf numFmtId="10" fontId="0" fillId="0" borderId="9" xfId="0" applyNumberFormat="1" applyBorder="1" applyAlignment="1">
      <alignment horizontal="left"/>
    </xf>
    <xf numFmtId="3" fontId="0" fillId="0" borderId="11" xfId="0" applyNumberFormat="1" applyBorder="1" applyAlignment="1">
      <alignment horizontal="left"/>
    </xf>
    <xf numFmtId="10" fontId="0" fillId="6" borderId="0" xfId="0" applyNumberFormat="1" applyFill="1"/>
    <xf numFmtId="0" fontId="12" fillId="0" borderId="0" xfId="0" applyFont="1"/>
    <xf numFmtId="0" fontId="2" fillId="0" borderId="15" xfId="0" applyFont="1" applyBorder="1"/>
    <xf numFmtId="0" fontId="2" fillId="0" borderId="16" xfId="0" applyFont="1" applyBorder="1" applyAlignment="1">
      <alignment horizontal="center"/>
    </xf>
    <xf numFmtId="0" fontId="2" fillId="0" borderId="17" xfId="0" applyFont="1" applyBorder="1" applyAlignment="1">
      <alignment horizontal="center"/>
    </xf>
    <xf numFmtId="167" fontId="0" fillId="0" borderId="14" xfId="0" applyNumberFormat="1" applyBorder="1" applyAlignment="1">
      <alignment horizontal="center"/>
    </xf>
    <xf numFmtId="172" fontId="0" fillId="0" borderId="7" xfId="0" applyNumberFormat="1" applyBorder="1" applyAlignment="1">
      <alignment horizontal="center"/>
    </xf>
    <xf numFmtId="167" fontId="2" fillId="0" borderId="19" xfId="0" applyNumberFormat="1" applyFont="1" applyBorder="1" applyAlignment="1">
      <alignment horizontal="center"/>
    </xf>
    <xf numFmtId="172" fontId="2" fillId="0" borderId="20" xfId="0" applyNumberFormat="1" applyFont="1" applyBorder="1" applyAlignment="1">
      <alignment horizontal="center"/>
    </xf>
    <xf numFmtId="176" fontId="0" fillId="0" borderId="0" xfId="0" applyNumberFormat="1"/>
    <xf numFmtId="177" fontId="0" fillId="0" borderId="0" xfId="0" applyNumberFormat="1"/>
    <xf numFmtId="178" fontId="0" fillId="0" borderId="0" xfId="0" applyNumberFormat="1"/>
    <xf numFmtId="0" fontId="2" fillId="0" borderId="0" xfId="0" applyFont="1" applyAlignment="1">
      <alignment horizontal="center" vertical="center" textRotation="90" wrapText="1"/>
    </xf>
    <xf numFmtId="0" fontId="2" fillId="0" borderId="0" xfId="0" applyFont="1" applyAlignment="1">
      <alignment horizontal="center" vertical="center" textRotation="90"/>
    </xf>
    <xf numFmtId="0" fontId="0" fillId="0" borderId="0" xfId="0" applyAlignment="1">
      <alignment horizontal="center"/>
    </xf>
    <xf numFmtId="0" fontId="5" fillId="5" borderId="0" xfId="0" applyFont="1" applyFill="1" applyAlignment="1">
      <alignment horizontal="center"/>
    </xf>
    <xf numFmtId="0" fontId="5" fillId="4" borderId="0" xfId="0" applyFont="1" applyFill="1" applyAlignment="1">
      <alignment horizontal="center"/>
    </xf>
    <xf numFmtId="0" fontId="5" fillId="6" borderId="0" xfId="0" applyFont="1" applyFill="1" applyAlignment="1">
      <alignment horizontal="center"/>
    </xf>
  </cellXfs>
  <cellStyles count="5">
    <cellStyle name="Currency" xfId="1" builtinId="4"/>
    <cellStyle name="Normal" xfId="0" builtinId="0"/>
    <cellStyle name="Normal 2" xfId="2" xr:uid="{00000000-0005-0000-0000-000002000000}"/>
    <cellStyle name="Normal 3" xfId="4" xr:uid="{00000000-0005-0000-0000-000003000000}"/>
    <cellStyle name="Percent" xfId="3" builtinId="5"/>
  </cellStyles>
  <dxfs count="1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Tornado Chart - Per Mile (SAMPLE)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Dashboard!$Z$9</c:f>
              <c:strCache>
                <c:ptCount val="1"/>
                <c:pt idx="0">
                  <c:v>Low $/mi</c:v>
                </c:pt>
              </c:strCache>
            </c:strRef>
          </c:tx>
          <c:spPr>
            <a:noFill/>
            <a:ln>
              <a:noFill/>
            </a:ln>
            <a:effectLst/>
          </c:spPr>
          <c:invertIfNegative val="0"/>
          <c:cat>
            <c:strRef>
              <c:f>Dashboard!$Y$10:$Y$17</c:f>
              <c:strCache>
                <c:ptCount val="8"/>
                <c:pt idx="0">
                  <c:v>Variable 1</c:v>
                </c:pt>
                <c:pt idx="1">
                  <c:v>Variable 2</c:v>
                </c:pt>
                <c:pt idx="2">
                  <c:v>Variable 3</c:v>
                </c:pt>
                <c:pt idx="3">
                  <c:v>Variable 4</c:v>
                </c:pt>
                <c:pt idx="4">
                  <c:v>Variable 5</c:v>
                </c:pt>
                <c:pt idx="5">
                  <c:v>Variable 6</c:v>
                </c:pt>
                <c:pt idx="6">
                  <c:v>Variable 7</c:v>
                </c:pt>
                <c:pt idx="7">
                  <c:v>Variable 8</c:v>
                </c:pt>
              </c:strCache>
            </c:strRef>
          </c:cat>
          <c:val>
            <c:numRef>
              <c:f>Dashboard!$Z$10:$Z$17</c:f>
              <c:numCache>
                <c:formatCode>_("$"* #,##0.00_);_("$"* \(#,##0.00\);_("$"* "-"??_);_(@_)</c:formatCode>
                <c:ptCount val="8"/>
                <c:pt idx="0">
                  <c:v>1.2560833778686551</c:v>
                </c:pt>
                <c:pt idx="1">
                  <c:v>1.2445926003871075</c:v>
                </c:pt>
                <c:pt idx="2">
                  <c:v>1.1344245266451327</c:v>
                </c:pt>
                <c:pt idx="3">
                  <c:v>1.0893216973794657</c:v>
                </c:pt>
                <c:pt idx="4">
                  <c:v>1.0611341065098081</c:v>
                </c:pt>
                <c:pt idx="5">
                  <c:v>1.0304252626010593</c:v>
                </c:pt>
                <c:pt idx="6">
                  <c:v>1.0036734411842854</c:v>
                </c:pt>
                <c:pt idx="7">
                  <c:v>0.98786468565737495</c:v>
                </c:pt>
              </c:numCache>
            </c:numRef>
          </c:val>
          <c:extLst>
            <c:ext xmlns:c16="http://schemas.microsoft.com/office/drawing/2014/chart" uri="{C3380CC4-5D6E-409C-BE32-E72D297353CC}">
              <c16:uniqueId val="{00000000-577E-425D-8F52-BC25CFE8DE4F}"/>
            </c:ext>
          </c:extLst>
        </c:ser>
        <c:ser>
          <c:idx val="1"/>
          <c:order val="1"/>
          <c:tx>
            <c:strRef>
              <c:f>Dashboard!$AA$9</c:f>
              <c:strCache>
                <c:ptCount val="1"/>
                <c:pt idx="0">
                  <c:v>Avg $/mi</c:v>
                </c:pt>
              </c:strCache>
            </c:strRef>
          </c:tx>
          <c:spPr>
            <a:solidFill>
              <a:schemeClr val="accent2"/>
            </a:solidFill>
            <a:ln>
              <a:noFill/>
            </a:ln>
            <a:effectLst/>
          </c:spPr>
          <c:invertIfNegative val="0"/>
          <c:cat>
            <c:strRef>
              <c:f>Dashboard!$Y$10:$Y$17</c:f>
              <c:strCache>
                <c:ptCount val="8"/>
                <c:pt idx="0">
                  <c:v>Variable 1</c:v>
                </c:pt>
                <c:pt idx="1">
                  <c:v>Variable 2</c:v>
                </c:pt>
                <c:pt idx="2">
                  <c:v>Variable 3</c:v>
                </c:pt>
                <c:pt idx="3">
                  <c:v>Variable 4</c:v>
                </c:pt>
                <c:pt idx="4">
                  <c:v>Variable 5</c:v>
                </c:pt>
                <c:pt idx="5">
                  <c:v>Variable 6</c:v>
                </c:pt>
                <c:pt idx="6">
                  <c:v>Variable 7</c:v>
                </c:pt>
                <c:pt idx="7">
                  <c:v>Variable 8</c:v>
                </c:pt>
              </c:strCache>
            </c:strRef>
          </c:cat>
          <c:val>
            <c:numRef>
              <c:f>Dashboard!$AA$10:$AA$17</c:f>
              <c:numCache>
                <c:formatCode>_("$"* #,##0.00_);_("$"* \(#,##0.00\);_("$"* "-"??_);_(@_)</c:formatCode>
                <c:ptCount val="8"/>
                <c:pt idx="0">
                  <c:v>2.1749125947219117E-3</c:v>
                </c:pt>
                <c:pt idx="1">
                  <c:v>1.3665690076269499E-2</c:v>
                </c:pt>
                <c:pt idx="2">
                  <c:v>0.12383376381824429</c:v>
                </c:pt>
                <c:pt idx="3">
                  <c:v>0.16893659308391129</c:v>
                </c:pt>
                <c:pt idx="4">
                  <c:v>0.1971241839535689</c:v>
                </c:pt>
                <c:pt idx="5">
                  <c:v>0.22783302786231774</c:v>
                </c:pt>
                <c:pt idx="6">
                  <c:v>0.25458484927909164</c:v>
                </c:pt>
                <c:pt idx="7">
                  <c:v>0.27039360480600205</c:v>
                </c:pt>
              </c:numCache>
            </c:numRef>
          </c:val>
          <c:extLst>
            <c:ext xmlns:c16="http://schemas.microsoft.com/office/drawing/2014/chart" uri="{C3380CC4-5D6E-409C-BE32-E72D297353CC}">
              <c16:uniqueId val="{00000001-577E-425D-8F52-BC25CFE8DE4F}"/>
            </c:ext>
          </c:extLst>
        </c:ser>
        <c:ser>
          <c:idx val="2"/>
          <c:order val="2"/>
          <c:tx>
            <c:strRef>
              <c:f>Dashboard!$AB$9</c:f>
              <c:strCache>
                <c:ptCount val="1"/>
                <c:pt idx="0">
                  <c:v>High $/mi</c:v>
                </c:pt>
              </c:strCache>
            </c:strRef>
          </c:tx>
          <c:spPr>
            <a:solidFill>
              <a:schemeClr val="accent3"/>
            </a:solidFill>
            <a:ln>
              <a:noFill/>
            </a:ln>
            <a:effectLst/>
          </c:spPr>
          <c:invertIfNegative val="0"/>
          <c:cat>
            <c:strRef>
              <c:f>Dashboard!$Y$10:$Y$17</c:f>
              <c:strCache>
                <c:ptCount val="8"/>
                <c:pt idx="0">
                  <c:v>Variable 1</c:v>
                </c:pt>
                <c:pt idx="1">
                  <c:v>Variable 2</c:v>
                </c:pt>
                <c:pt idx="2">
                  <c:v>Variable 3</c:v>
                </c:pt>
                <c:pt idx="3">
                  <c:v>Variable 4</c:v>
                </c:pt>
                <c:pt idx="4">
                  <c:v>Variable 5</c:v>
                </c:pt>
                <c:pt idx="5">
                  <c:v>Variable 6</c:v>
                </c:pt>
                <c:pt idx="6">
                  <c:v>Variable 7</c:v>
                </c:pt>
                <c:pt idx="7">
                  <c:v>Variable 8</c:v>
                </c:pt>
              </c:strCache>
            </c:strRef>
          </c:cat>
          <c:val>
            <c:numRef>
              <c:f>Dashboard!$AB$10:$AB$17</c:f>
              <c:numCache>
                <c:formatCode>_("$"* #,##0.00_);_("$"* \(#,##0.00\);_("$"* "-"??_);_(@_)</c:formatCode>
                <c:ptCount val="8"/>
                <c:pt idx="0">
                  <c:v>2.1749125947219117E-3</c:v>
                </c:pt>
                <c:pt idx="1">
                  <c:v>1.3665690076269499E-2</c:v>
                </c:pt>
                <c:pt idx="2">
                  <c:v>0.12383376381824429</c:v>
                </c:pt>
                <c:pt idx="3">
                  <c:v>0.16893659308391129</c:v>
                </c:pt>
                <c:pt idx="4">
                  <c:v>0.1971241839535689</c:v>
                </c:pt>
                <c:pt idx="5">
                  <c:v>0.22783302786231774</c:v>
                </c:pt>
                <c:pt idx="6">
                  <c:v>0.25458484927909164</c:v>
                </c:pt>
                <c:pt idx="7">
                  <c:v>0.27039360480600205</c:v>
                </c:pt>
              </c:numCache>
            </c:numRef>
          </c:val>
          <c:extLst>
            <c:ext xmlns:c16="http://schemas.microsoft.com/office/drawing/2014/chart" uri="{C3380CC4-5D6E-409C-BE32-E72D297353CC}">
              <c16:uniqueId val="{00000002-577E-425D-8F52-BC25CFE8DE4F}"/>
            </c:ext>
          </c:extLst>
        </c:ser>
        <c:dLbls>
          <c:showLegendKey val="0"/>
          <c:showVal val="0"/>
          <c:showCatName val="0"/>
          <c:showSerName val="0"/>
          <c:showPercent val="0"/>
          <c:showBubbleSize val="0"/>
        </c:dLbls>
        <c:gapWidth val="150"/>
        <c:overlap val="100"/>
        <c:axId val="613575792"/>
        <c:axId val="613577104"/>
      </c:barChart>
      <c:catAx>
        <c:axId val="613575792"/>
        <c:scaling>
          <c:orientation val="minMax"/>
        </c:scaling>
        <c:delete val="0"/>
        <c:axPos val="l"/>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577104"/>
        <c:crosses val="autoZero"/>
        <c:auto val="1"/>
        <c:lblAlgn val="ctr"/>
        <c:lblOffset val="100"/>
        <c:noMultiLvlLbl val="0"/>
      </c:catAx>
      <c:valAx>
        <c:axId val="6135771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575792"/>
        <c:crosses val="autoZero"/>
        <c:crossBetween val="between"/>
      </c:val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Dashboard!$N$27</c:f>
          <c:strCache>
            <c:ptCount val="1"/>
            <c:pt idx="0">
              <c:v>Annual Cost of Ownership,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Dashboard!$B$57</c:f>
              <c:strCache>
                <c:ptCount val="1"/>
                <c:pt idx="0">
                  <c:v>Vehicle</c:v>
                </c:pt>
              </c:strCache>
            </c:strRef>
          </c:tx>
          <c:spPr>
            <a:solidFill>
              <a:schemeClr val="accent1"/>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Dashboard!$C$57:$AF$57</c15:sqref>
                  </c15:fullRef>
                </c:ext>
              </c:extLst>
              <c:f>Dashboard!$C$57:$Q$57</c:f>
              <c:numCache>
                <c:formatCode>"$"#,##0</c:formatCode>
                <c:ptCount val="15"/>
                <c:pt idx="0">
                  <c:v>53522.05892201457</c:v>
                </c:pt>
                <c:pt idx="1">
                  <c:v>48865.901573504307</c:v>
                </c:pt>
                <c:pt idx="2">
                  <c:v>44538.97422778848</c:v>
                </c:pt>
                <c:pt idx="3">
                  <c:v>40543.257764170667</c:v>
                </c:pt>
                <c:pt idx="4">
                  <c:v>36727.105718893326</c:v>
                </c:pt>
                <c:pt idx="5">
                  <c:v>33327.900054978847</c:v>
                </c:pt>
                <c:pt idx="6">
                  <c:v>30290.82744247984</c:v>
                </c:pt>
                <c:pt idx="7">
                  <c:v>27569.65022033513</c:v>
                </c:pt>
                <c:pt idx="8">
                  <c:v>25125.173634911091</c:v>
                </c:pt>
                <c:pt idx="9">
                  <c:v>22924.014843756057</c:v>
                </c:pt>
                <c:pt idx="10">
                  <c:v>0</c:v>
                </c:pt>
                <c:pt idx="11">
                  <c:v>0</c:v>
                </c:pt>
                <c:pt idx="12">
                  <c:v>0</c:v>
                </c:pt>
                <c:pt idx="13">
                  <c:v>0</c:v>
                </c:pt>
                <c:pt idx="14">
                  <c:v>0</c:v>
                </c:pt>
              </c:numCache>
            </c:numRef>
          </c:val>
          <c:extLst>
            <c:ext xmlns:c16="http://schemas.microsoft.com/office/drawing/2014/chart" uri="{C3380CC4-5D6E-409C-BE32-E72D297353CC}">
              <c16:uniqueId val="{00000000-466E-45B2-9A88-29769DF2E9A8}"/>
            </c:ext>
          </c:extLst>
        </c:ser>
        <c:ser>
          <c:idx val="1"/>
          <c:order val="1"/>
          <c:tx>
            <c:strRef>
              <c:f>Dashboard!$B$58</c:f>
              <c:strCache>
                <c:ptCount val="1"/>
                <c:pt idx="0">
                  <c:v>Financing</c:v>
                </c:pt>
              </c:strCache>
            </c:strRef>
          </c:tx>
          <c:spPr>
            <a:solidFill>
              <a:schemeClr val="accent2"/>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Dashboard!$C$58:$AF$58</c15:sqref>
                  </c15:fullRef>
                </c:ext>
              </c:extLst>
              <c:f>Dashboard!$C$58:$Q$58</c:f>
              <c:numCache>
                <c:formatCode>"$"#,##0</c:formatCode>
                <c:ptCount val="15"/>
                <c:pt idx="0">
                  <c:v>15786.090933882107</c:v>
                </c:pt>
                <c:pt idx="1">
                  <c:v>12735.107525265281</c:v>
                </c:pt>
                <c:pt idx="2">
                  <c:v>9559.8223451587401</c:v>
                </c:pt>
                <c:pt idx="3">
                  <c:v>6255.1711476042983</c:v>
                </c:pt>
                <c:pt idx="4">
                  <c:v>2815.8833614497707</c:v>
                </c:pt>
                <c:pt idx="5">
                  <c:v>150.28527079805281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66E-45B2-9A88-29769DF2E9A8}"/>
            </c:ext>
          </c:extLst>
        </c:ser>
        <c:ser>
          <c:idx val="2"/>
          <c:order val="2"/>
          <c:tx>
            <c:strRef>
              <c:f>Dashboard!$B$59</c:f>
              <c:strCache>
                <c:ptCount val="1"/>
                <c:pt idx="0">
                  <c:v>Fuel</c:v>
                </c:pt>
              </c:strCache>
            </c:strRef>
          </c:tx>
          <c:spPr>
            <a:solidFill>
              <a:schemeClr val="accent3"/>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Dashboard!$C$59:$AF$59</c15:sqref>
                  </c15:fullRef>
                </c:ext>
              </c:extLst>
              <c:f>Dashboard!$C$59:$Q$59</c:f>
              <c:numCache>
                <c:formatCode>"$"#,##0</c:formatCode>
                <c:ptCount val="15"/>
                <c:pt idx="0">
                  <c:v>11565.449659918078</c:v>
                </c:pt>
                <c:pt idx="1">
                  <c:v>11477.937535128354</c:v>
                </c:pt>
                <c:pt idx="2">
                  <c:v>11177.500904984699</c:v>
                </c:pt>
                <c:pt idx="3">
                  <c:v>10696.345148099797</c:v>
                </c:pt>
                <c:pt idx="4">
                  <c:v>9594.9925362714985</c:v>
                </c:pt>
                <c:pt idx="5">
                  <c:v>8607.0410496674085</c:v>
                </c:pt>
                <c:pt idx="6">
                  <c:v>7720.8143050257031</c:v>
                </c:pt>
                <c:pt idx="7">
                  <c:v>6925.8381816353731</c:v>
                </c:pt>
                <c:pt idx="8">
                  <c:v>6212.717029986733</c:v>
                </c:pt>
                <c:pt idx="9">
                  <c:v>5573.0226266379796</c:v>
                </c:pt>
                <c:pt idx="10">
                  <c:v>0</c:v>
                </c:pt>
                <c:pt idx="11">
                  <c:v>0</c:v>
                </c:pt>
                <c:pt idx="12">
                  <c:v>0</c:v>
                </c:pt>
                <c:pt idx="13">
                  <c:v>0</c:v>
                </c:pt>
                <c:pt idx="14">
                  <c:v>0</c:v>
                </c:pt>
              </c:numCache>
            </c:numRef>
          </c:val>
          <c:extLst>
            <c:ext xmlns:c16="http://schemas.microsoft.com/office/drawing/2014/chart" uri="{C3380CC4-5D6E-409C-BE32-E72D297353CC}">
              <c16:uniqueId val="{00000002-466E-45B2-9A88-29769DF2E9A8}"/>
            </c:ext>
          </c:extLst>
        </c:ser>
        <c:ser>
          <c:idx val="3"/>
          <c:order val="3"/>
          <c:tx>
            <c:strRef>
              <c:f>Dashboard!$B$60</c:f>
              <c:strCache>
                <c:ptCount val="1"/>
                <c:pt idx="0">
                  <c:v>Insurance</c:v>
                </c:pt>
              </c:strCache>
            </c:strRef>
          </c:tx>
          <c:spPr>
            <a:solidFill>
              <a:schemeClr val="accent4"/>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Dashboard!$C$60:$AF$60</c15:sqref>
                  </c15:fullRef>
                </c:ext>
              </c:extLst>
              <c:f>Dashboard!$C$60:$Q$60</c:f>
              <c:numCache>
                <c:formatCode>"$"#,##0</c:formatCode>
                <c:ptCount val="15"/>
                <c:pt idx="0">
                  <c:v>35000</c:v>
                </c:pt>
                <c:pt idx="1">
                  <c:v>35000</c:v>
                </c:pt>
                <c:pt idx="2">
                  <c:v>35000</c:v>
                </c:pt>
                <c:pt idx="3">
                  <c:v>35000</c:v>
                </c:pt>
                <c:pt idx="4">
                  <c:v>35000</c:v>
                </c:pt>
                <c:pt idx="5">
                  <c:v>35000</c:v>
                </c:pt>
                <c:pt idx="6">
                  <c:v>35000</c:v>
                </c:pt>
                <c:pt idx="7">
                  <c:v>35000</c:v>
                </c:pt>
                <c:pt idx="8">
                  <c:v>35000</c:v>
                </c:pt>
                <c:pt idx="9">
                  <c:v>35000</c:v>
                </c:pt>
                <c:pt idx="10">
                  <c:v>0</c:v>
                </c:pt>
                <c:pt idx="11">
                  <c:v>0</c:v>
                </c:pt>
                <c:pt idx="12">
                  <c:v>0</c:v>
                </c:pt>
                <c:pt idx="13">
                  <c:v>0</c:v>
                </c:pt>
                <c:pt idx="14">
                  <c:v>0</c:v>
                </c:pt>
              </c:numCache>
            </c:numRef>
          </c:val>
          <c:extLst>
            <c:ext xmlns:c16="http://schemas.microsoft.com/office/drawing/2014/chart" uri="{C3380CC4-5D6E-409C-BE32-E72D297353CC}">
              <c16:uniqueId val="{00000003-466E-45B2-9A88-29769DF2E9A8}"/>
            </c:ext>
          </c:extLst>
        </c:ser>
        <c:ser>
          <c:idx val="4"/>
          <c:order val="4"/>
          <c:tx>
            <c:strRef>
              <c:f>Dashboard!$B$61</c:f>
              <c:strCache>
                <c:ptCount val="1"/>
                <c:pt idx="0">
                  <c:v>Taxes &amp; fees</c:v>
                </c:pt>
              </c:strCache>
            </c:strRef>
          </c:tx>
          <c:spPr>
            <a:solidFill>
              <a:schemeClr val="accent5"/>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Dashboard!$C$61:$AF$61</c15:sqref>
                  </c15:fullRef>
                </c:ext>
              </c:extLst>
              <c:f>Dashboard!$C$61:$Q$61</c:f>
              <c:numCache>
                <c:formatCode>"$"#,##0</c:formatCode>
                <c:ptCount val="15"/>
                <c:pt idx="0">
                  <c:v>104359.38979415604</c:v>
                </c:pt>
                <c:pt idx="1">
                  <c:v>222</c:v>
                </c:pt>
                <c:pt idx="2">
                  <c:v>222</c:v>
                </c:pt>
                <c:pt idx="3">
                  <c:v>222</c:v>
                </c:pt>
                <c:pt idx="4">
                  <c:v>222</c:v>
                </c:pt>
                <c:pt idx="5">
                  <c:v>222</c:v>
                </c:pt>
                <c:pt idx="6">
                  <c:v>222</c:v>
                </c:pt>
                <c:pt idx="7">
                  <c:v>222</c:v>
                </c:pt>
                <c:pt idx="8">
                  <c:v>222</c:v>
                </c:pt>
                <c:pt idx="9">
                  <c:v>222</c:v>
                </c:pt>
                <c:pt idx="10">
                  <c:v>0</c:v>
                </c:pt>
                <c:pt idx="11">
                  <c:v>0</c:v>
                </c:pt>
                <c:pt idx="12">
                  <c:v>0</c:v>
                </c:pt>
                <c:pt idx="13">
                  <c:v>0</c:v>
                </c:pt>
                <c:pt idx="14">
                  <c:v>0</c:v>
                </c:pt>
              </c:numCache>
            </c:numRef>
          </c:val>
          <c:extLst>
            <c:ext xmlns:c16="http://schemas.microsoft.com/office/drawing/2014/chart" uri="{C3380CC4-5D6E-409C-BE32-E72D297353CC}">
              <c16:uniqueId val="{00000004-466E-45B2-9A88-29769DF2E9A8}"/>
            </c:ext>
          </c:extLst>
        </c:ser>
        <c:ser>
          <c:idx val="5"/>
          <c:order val="5"/>
          <c:tx>
            <c:strRef>
              <c:f>Dashboard!$B$62</c:f>
              <c:strCache>
                <c:ptCount val="1"/>
                <c:pt idx="0">
                  <c:v>Maintenance</c:v>
                </c:pt>
              </c:strCache>
            </c:strRef>
          </c:tx>
          <c:spPr>
            <a:solidFill>
              <a:schemeClr val="accent6"/>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Dashboard!$C$62:$AF$62</c15:sqref>
                  </c15:fullRef>
                </c:ext>
              </c:extLst>
              <c:f>Dashboard!$C$62:$Q$62</c:f>
              <c:numCache>
                <c:formatCode>"$"#,##0</c:formatCode>
                <c:ptCount val="15"/>
                <c:pt idx="0">
                  <c:v>27680.332823461667</c:v>
                </c:pt>
                <c:pt idx="1">
                  <c:v>30261.220566406901</c:v>
                </c:pt>
                <c:pt idx="2">
                  <c:v>32095.929495202425</c:v>
                </c:pt>
                <c:pt idx="3">
                  <c:v>38466.267943635161</c:v>
                </c:pt>
                <c:pt idx="4">
                  <c:v>40354.403463353505</c:v>
                </c:pt>
                <c:pt idx="5">
                  <c:v>39330.131179694064</c:v>
                </c:pt>
                <c:pt idx="6">
                  <c:v>40176.9998261781</c:v>
                </c:pt>
                <c:pt idx="7">
                  <c:v>40567.150198495016</c:v>
                </c:pt>
                <c:pt idx="8">
                  <c:v>40646.803228155441</c:v>
                </c:pt>
                <c:pt idx="9">
                  <c:v>43051.49632571471</c:v>
                </c:pt>
                <c:pt idx="10">
                  <c:v>0</c:v>
                </c:pt>
                <c:pt idx="11">
                  <c:v>0</c:v>
                </c:pt>
                <c:pt idx="12">
                  <c:v>0</c:v>
                </c:pt>
                <c:pt idx="13">
                  <c:v>0</c:v>
                </c:pt>
                <c:pt idx="14">
                  <c:v>0</c:v>
                </c:pt>
              </c:numCache>
            </c:numRef>
          </c:val>
          <c:extLst>
            <c:ext xmlns:c16="http://schemas.microsoft.com/office/drawing/2014/chart" uri="{C3380CC4-5D6E-409C-BE32-E72D297353CC}">
              <c16:uniqueId val="{00000005-466E-45B2-9A88-29769DF2E9A8}"/>
            </c:ext>
          </c:extLst>
        </c:ser>
        <c:ser>
          <c:idx val="6"/>
          <c:order val="6"/>
          <c:tx>
            <c:strRef>
              <c:f>Dashboard!$B$63</c:f>
              <c:strCache>
                <c:ptCount val="1"/>
                <c:pt idx="0">
                  <c:v>Repair</c:v>
                </c:pt>
              </c:strCache>
            </c:strRef>
          </c:tx>
          <c:spPr>
            <a:solidFill>
              <a:schemeClr val="accent1">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Dashboard!$C$63:$AF$63</c15:sqref>
                  </c15:fullRef>
                </c:ext>
              </c:extLst>
              <c:f>Dashboard!$C$63:$Q$63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6-466E-45B2-9A88-29769DF2E9A8}"/>
            </c:ext>
          </c:extLst>
        </c:ser>
        <c:ser>
          <c:idx val="7"/>
          <c:order val="7"/>
          <c:tx>
            <c:strRef>
              <c:f>Dashboard!$B$64</c:f>
              <c:strCache>
                <c:ptCount val="1"/>
                <c:pt idx="0">
                  <c:v>Operational</c:v>
                </c:pt>
              </c:strCache>
            </c:strRef>
          </c:tx>
          <c:spPr>
            <a:solidFill>
              <a:schemeClr val="accent2">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Dashboard!$C$64:$AF$64</c15:sqref>
                  </c15:fullRef>
                </c:ext>
              </c:extLst>
              <c:f>Dashboard!$C$64:$Q$64</c:f>
              <c:numCache>
                <c:formatCode>"$"#,##0</c:formatCode>
                <c:ptCount val="15"/>
                <c:pt idx="0">
                  <c:v>1905.1066056097754</c:v>
                </c:pt>
                <c:pt idx="1">
                  <c:v>1890.6912623321466</c:v>
                </c:pt>
                <c:pt idx="2">
                  <c:v>1841.2021524847851</c:v>
                </c:pt>
                <c:pt idx="3">
                  <c:v>1761.9442733946701</c:v>
                </c:pt>
                <c:pt idx="4">
                  <c:v>1580.5251156794886</c:v>
                </c:pt>
                <c:pt idx="5">
                  <c:v>1417.7858397761615</c:v>
                </c:pt>
                <c:pt idx="6">
                  <c:v>1271.8030656574665</c:v>
                </c:pt>
                <c:pt idx="7">
                  <c:v>1140.8514547381121</c:v>
                </c:pt>
                <c:pt idx="8">
                  <c:v>1023.3833184740962</c:v>
                </c:pt>
                <c:pt idx="9">
                  <c:v>918.0103265691755</c:v>
                </c:pt>
                <c:pt idx="10">
                  <c:v>0</c:v>
                </c:pt>
                <c:pt idx="11">
                  <c:v>0</c:v>
                </c:pt>
                <c:pt idx="12">
                  <c:v>0</c:v>
                </c:pt>
                <c:pt idx="13">
                  <c:v>0</c:v>
                </c:pt>
                <c:pt idx="14">
                  <c:v>0</c:v>
                </c:pt>
              </c:numCache>
            </c:numRef>
          </c:val>
          <c:extLst>
            <c:ext xmlns:c16="http://schemas.microsoft.com/office/drawing/2014/chart" uri="{C3380CC4-5D6E-409C-BE32-E72D297353CC}">
              <c16:uniqueId val="{00000007-466E-45B2-9A88-29769DF2E9A8}"/>
            </c:ext>
          </c:extLst>
        </c:ser>
        <c:ser>
          <c:idx val="9"/>
          <c:order val="8"/>
          <c:tx>
            <c:strRef>
              <c:f>Dashboard!$B$65</c:f>
              <c:strCache>
                <c:ptCount val="1"/>
                <c:pt idx="0">
                  <c:v>Labor</c:v>
                </c:pt>
              </c:strCache>
            </c:strRef>
          </c:tx>
          <c:spPr>
            <a:solidFill>
              <a:schemeClr val="accent4">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Dashboard!$C$65:$AF$65</c15:sqref>
                  </c15:fullRef>
                </c:ext>
              </c:extLst>
              <c:f>Dashboard!$C$65:$Q$65</c:f>
              <c:numCache>
                <c:formatCode>"$"#,##0</c:formatCode>
                <c:ptCount val="15"/>
                <c:pt idx="0">
                  <c:v>148232.66779820487</c:v>
                </c:pt>
                <c:pt idx="1">
                  <c:v>147111.03776187109</c:v>
                </c:pt>
                <c:pt idx="2">
                  <c:v>143260.38564716448</c:v>
                </c:pt>
                <c:pt idx="3">
                  <c:v>137093.48305653757</c:v>
                </c:pt>
                <c:pt idx="4">
                  <c:v>122977.60856498014</c:v>
                </c:pt>
                <c:pt idx="5">
                  <c:v>110315.17962180976</c:v>
                </c:pt>
                <c:pt idx="6">
                  <c:v>98956.541739563429</c:v>
                </c:pt>
                <c:pt idx="7">
                  <c:v>88767.449653120653</c:v>
                </c:pt>
                <c:pt idx="8">
                  <c:v>79627.480704178393</c:v>
                </c:pt>
                <c:pt idx="9">
                  <c:v>71428.611592102883</c:v>
                </c:pt>
                <c:pt idx="10">
                  <c:v>0</c:v>
                </c:pt>
                <c:pt idx="11">
                  <c:v>0</c:v>
                </c:pt>
                <c:pt idx="12">
                  <c:v>0</c:v>
                </c:pt>
                <c:pt idx="13">
                  <c:v>0</c:v>
                </c:pt>
                <c:pt idx="14">
                  <c:v>0</c:v>
                </c:pt>
              </c:numCache>
            </c:numRef>
          </c:val>
          <c:extLst>
            <c:ext xmlns:c16="http://schemas.microsoft.com/office/drawing/2014/chart" uri="{C3380CC4-5D6E-409C-BE32-E72D297353CC}">
              <c16:uniqueId val="{00000008-466E-45B2-9A88-29769DF2E9A8}"/>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numFmt formatCode="General" sourceLinked="0"/>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Dashboard!$N$31</c:f>
          <c:strCache>
            <c:ptCount val="1"/>
            <c:pt idx="0">
              <c:v>Per-Mile Cost of Driving, by mileage, BEV,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Dashboard!$B$128</c:f>
              <c:strCache>
                <c:ptCount val="1"/>
                <c:pt idx="0">
                  <c:v>Vehicle</c:v>
                </c:pt>
              </c:strCache>
            </c:strRef>
          </c:tx>
          <c:spPr>
            <a:solidFill>
              <a:schemeClr val="accent1"/>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Dashboard!$C$128:$AF$128</c:f>
              <c:numCache>
                <c:formatCode>General</c:formatCode>
                <c:ptCount val="30"/>
                <c:pt idx="0">
                  <c:v>0.72288747331229386</c:v>
                </c:pt>
                <c:pt idx="1">
                  <c:v>0.72288747331229386</c:v>
                </c:pt>
                <c:pt idx="2">
                  <c:v>0.72288747331229386</c:v>
                </c:pt>
                <c:pt idx="3">
                  <c:v>0.72288747331229386</c:v>
                </c:pt>
                <c:pt idx="4">
                  <c:v>0.72288747331229386</c:v>
                </c:pt>
                <c:pt idx="5">
                  <c:v>0.72288747331229386</c:v>
                </c:pt>
                <c:pt idx="6">
                  <c:v>0.72288747331229386</c:v>
                </c:pt>
                <c:pt idx="7">
                  <c:v>0.6884013047674733</c:v>
                </c:pt>
                <c:pt idx="8">
                  <c:v>0.66503188618621978</c:v>
                </c:pt>
                <c:pt idx="9">
                  <c:v>0.66503188618621978</c:v>
                </c:pt>
                <c:pt idx="10">
                  <c:v>0.66503188618621978</c:v>
                </c:pt>
                <c:pt idx="11">
                  <c:v>0.66503188618621978</c:v>
                </c:pt>
                <c:pt idx="12">
                  <c:v>0.66503188618621978</c:v>
                </c:pt>
                <c:pt idx="13">
                  <c:v>0.66503188618621978</c:v>
                </c:pt>
                <c:pt idx="14">
                  <c:v>0.65446130550295734</c:v>
                </c:pt>
                <c:pt idx="15">
                  <c:v>0.62243772513593554</c:v>
                </c:pt>
                <c:pt idx="16">
                  <c:v>0.62243772513593554</c:v>
                </c:pt>
                <c:pt idx="17">
                  <c:v>0.62243772513593554</c:v>
                </c:pt>
                <c:pt idx="18">
                  <c:v>0.62243772513593554</c:v>
                </c:pt>
                <c:pt idx="19">
                  <c:v>0.62243772513593554</c:v>
                </c:pt>
                <c:pt idx="20">
                  <c:v>0.62243772513593554</c:v>
                </c:pt>
                <c:pt idx="21">
                  <c:v>0.61962705381541827</c:v>
                </c:pt>
                <c:pt idx="22">
                  <c:v>0.59208443485272177</c:v>
                </c:pt>
                <c:pt idx="23">
                  <c:v>0.59208443485272177</c:v>
                </c:pt>
                <c:pt idx="24">
                  <c:v>0.59208443485272177</c:v>
                </c:pt>
                <c:pt idx="25">
                  <c:v>0.59208443485272177</c:v>
                </c:pt>
                <c:pt idx="26">
                  <c:v>0.59208443485272177</c:v>
                </c:pt>
                <c:pt idx="27">
                  <c:v>0.59208443485272177</c:v>
                </c:pt>
                <c:pt idx="28">
                  <c:v>0.59351424671132946</c:v>
                </c:pt>
                <c:pt idx="29">
                  <c:v>0.5979191646187465</c:v>
                </c:pt>
              </c:numCache>
            </c:numRef>
          </c:val>
          <c:extLst>
            <c:ext xmlns:c16="http://schemas.microsoft.com/office/drawing/2014/chart" uri="{C3380CC4-5D6E-409C-BE32-E72D297353CC}">
              <c16:uniqueId val="{00000000-FA40-494A-BAE3-786FA3EC133B}"/>
            </c:ext>
          </c:extLst>
        </c:ser>
        <c:ser>
          <c:idx val="1"/>
          <c:order val="1"/>
          <c:tx>
            <c:strRef>
              <c:f>Dashboard!$B$129</c:f>
              <c:strCache>
                <c:ptCount val="1"/>
                <c:pt idx="0">
                  <c:v>Financing</c:v>
                </c:pt>
              </c:strCache>
            </c:strRef>
          </c:tx>
          <c:spPr>
            <a:solidFill>
              <a:schemeClr val="accent2"/>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Dashboard!$C$129:$AF$129</c:f>
              <c:numCache>
                <c:formatCode>General</c:formatCode>
                <c:ptCount val="30"/>
                <c:pt idx="0">
                  <c:v>0.21321241406836772</c:v>
                </c:pt>
                <c:pt idx="1">
                  <c:v>0.21321241406836772</c:v>
                </c:pt>
                <c:pt idx="2">
                  <c:v>0.21321241406836772</c:v>
                </c:pt>
                <c:pt idx="3">
                  <c:v>0.21321241406836772</c:v>
                </c:pt>
                <c:pt idx="4">
                  <c:v>0.21321241406836772</c:v>
                </c:pt>
                <c:pt idx="5">
                  <c:v>0.21321241406836772</c:v>
                </c:pt>
                <c:pt idx="6">
                  <c:v>0.21321241406836772</c:v>
                </c:pt>
                <c:pt idx="7">
                  <c:v>0.18943135014347295</c:v>
                </c:pt>
                <c:pt idx="8">
                  <c:v>0.17331620425690916</c:v>
                </c:pt>
                <c:pt idx="9">
                  <c:v>0.17331620425690916</c:v>
                </c:pt>
                <c:pt idx="10">
                  <c:v>0.17331620425690916</c:v>
                </c:pt>
                <c:pt idx="11">
                  <c:v>0.17331620425690916</c:v>
                </c:pt>
                <c:pt idx="12">
                  <c:v>0.17331620425690916</c:v>
                </c:pt>
                <c:pt idx="13">
                  <c:v>0.17331620425690916</c:v>
                </c:pt>
                <c:pt idx="14">
                  <c:v>0.16345977349533314</c:v>
                </c:pt>
                <c:pt idx="15">
                  <c:v>0.13359971073405993</c:v>
                </c:pt>
                <c:pt idx="16">
                  <c:v>0.13359971073405993</c:v>
                </c:pt>
                <c:pt idx="17">
                  <c:v>0.13359971073405993</c:v>
                </c:pt>
                <c:pt idx="18">
                  <c:v>0.13359971073405993</c:v>
                </c:pt>
                <c:pt idx="19">
                  <c:v>0.13359971073405993</c:v>
                </c:pt>
                <c:pt idx="20">
                  <c:v>0.13359971073405993</c:v>
                </c:pt>
                <c:pt idx="21">
                  <c:v>0.12968736308713433</c:v>
                </c:pt>
                <c:pt idx="22">
                  <c:v>9.134908436266112E-2</c:v>
                </c:pt>
                <c:pt idx="23">
                  <c:v>9.134908436266112E-2</c:v>
                </c:pt>
                <c:pt idx="24">
                  <c:v>9.134908436266112E-2</c:v>
                </c:pt>
                <c:pt idx="25">
                  <c:v>9.134908436266112E-2</c:v>
                </c:pt>
                <c:pt idx="26">
                  <c:v>9.134908436266112E-2</c:v>
                </c:pt>
                <c:pt idx="27">
                  <c:v>9.134908436266112E-2</c:v>
                </c:pt>
                <c:pt idx="28">
                  <c:v>8.0197662770924966E-2</c:v>
                </c:pt>
                <c:pt idx="29">
                  <c:v>4.584272553433888E-2</c:v>
                </c:pt>
              </c:numCache>
            </c:numRef>
          </c:val>
          <c:extLst>
            <c:ext xmlns:c16="http://schemas.microsoft.com/office/drawing/2014/chart" uri="{C3380CC4-5D6E-409C-BE32-E72D297353CC}">
              <c16:uniqueId val="{00000001-FA40-494A-BAE3-786FA3EC133B}"/>
            </c:ext>
          </c:extLst>
        </c:ser>
        <c:ser>
          <c:idx val="2"/>
          <c:order val="2"/>
          <c:tx>
            <c:strRef>
              <c:f>Dashboard!$B$130</c:f>
              <c:strCache>
                <c:ptCount val="1"/>
                <c:pt idx="0">
                  <c:v>Fuel</c:v>
                </c:pt>
              </c:strCache>
            </c:strRef>
          </c:tx>
          <c:spPr>
            <a:solidFill>
              <a:schemeClr val="accent3"/>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Dashboard!$C$130:$AF$130</c:f>
              <c:numCache>
                <c:formatCode>General</c:formatCode>
                <c:ptCount val="30"/>
                <c:pt idx="0">
                  <c:v>0.15620697056069116</c:v>
                </c:pt>
                <c:pt idx="1">
                  <c:v>0.15620697056069116</c:v>
                </c:pt>
                <c:pt idx="2">
                  <c:v>0.15620697056069116</c:v>
                </c:pt>
                <c:pt idx="3">
                  <c:v>0.15620697056069116</c:v>
                </c:pt>
                <c:pt idx="4">
                  <c:v>0.15620697056069116</c:v>
                </c:pt>
                <c:pt idx="5">
                  <c:v>0.15620697056069116</c:v>
                </c:pt>
                <c:pt idx="6">
                  <c:v>0.15620697056069116</c:v>
                </c:pt>
                <c:pt idx="7">
                  <c:v>0.15620697056069116</c:v>
                </c:pt>
                <c:pt idx="8">
                  <c:v>0.15620697056069116</c:v>
                </c:pt>
                <c:pt idx="9">
                  <c:v>0.15620697056069116</c:v>
                </c:pt>
                <c:pt idx="10">
                  <c:v>0.15620697056069116</c:v>
                </c:pt>
                <c:pt idx="11">
                  <c:v>0.15620697056069116</c:v>
                </c:pt>
                <c:pt idx="12">
                  <c:v>0.15620697056069116</c:v>
                </c:pt>
                <c:pt idx="13">
                  <c:v>0.15620697056069116</c:v>
                </c:pt>
                <c:pt idx="14">
                  <c:v>0.15620697056069116</c:v>
                </c:pt>
                <c:pt idx="15">
                  <c:v>0.15620697056069116</c:v>
                </c:pt>
                <c:pt idx="16">
                  <c:v>0.15620697056069116</c:v>
                </c:pt>
                <c:pt idx="17">
                  <c:v>0.15620697056069116</c:v>
                </c:pt>
                <c:pt idx="18">
                  <c:v>0.15620697056069116</c:v>
                </c:pt>
                <c:pt idx="19">
                  <c:v>0.15620697056069116</c:v>
                </c:pt>
                <c:pt idx="20">
                  <c:v>0.15620697056069116</c:v>
                </c:pt>
                <c:pt idx="21">
                  <c:v>0.15620697056069116</c:v>
                </c:pt>
                <c:pt idx="22">
                  <c:v>0.15620697056069116</c:v>
                </c:pt>
                <c:pt idx="23">
                  <c:v>0.15620697056069116</c:v>
                </c:pt>
                <c:pt idx="24">
                  <c:v>0.15620697056069116</c:v>
                </c:pt>
                <c:pt idx="25">
                  <c:v>0.15620697056069116</c:v>
                </c:pt>
                <c:pt idx="26">
                  <c:v>0.15620697056069116</c:v>
                </c:pt>
                <c:pt idx="27">
                  <c:v>0.15620697056069116</c:v>
                </c:pt>
                <c:pt idx="28">
                  <c:v>0.15620697056069116</c:v>
                </c:pt>
                <c:pt idx="29">
                  <c:v>0.15620697056069116</c:v>
                </c:pt>
              </c:numCache>
            </c:numRef>
          </c:val>
          <c:extLst>
            <c:ext xmlns:c16="http://schemas.microsoft.com/office/drawing/2014/chart" uri="{C3380CC4-5D6E-409C-BE32-E72D297353CC}">
              <c16:uniqueId val="{00000002-FA40-494A-BAE3-786FA3EC133B}"/>
            </c:ext>
          </c:extLst>
        </c:ser>
        <c:ser>
          <c:idx val="3"/>
          <c:order val="3"/>
          <c:tx>
            <c:strRef>
              <c:f>Dashboard!$B$131</c:f>
              <c:strCache>
                <c:ptCount val="1"/>
                <c:pt idx="0">
                  <c:v>Insurance</c:v>
                </c:pt>
              </c:strCache>
            </c:strRef>
          </c:tx>
          <c:spPr>
            <a:solidFill>
              <a:schemeClr val="accent4"/>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Dashboard!$C$131:$AF$131</c:f>
              <c:numCache>
                <c:formatCode>General</c:formatCode>
                <c:ptCount val="30"/>
                <c:pt idx="0">
                  <c:v>0.47272212757726156</c:v>
                </c:pt>
                <c:pt idx="1">
                  <c:v>0.47272212757726156</c:v>
                </c:pt>
                <c:pt idx="2">
                  <c:v>0.47272212757726156</c:v>
                </c:pt>
                <c:pt idx="3">
                  <c:v>0.47272212757726156</c:v>
                </c:pt>
                <c:pt idx="4">
                  <c:v>0.47272212757726156</c:v>
                </c:pt>
                <c:pt idx="5">
                  <c:v>0.47272212757726156</c:v>
                </c:pt>
                <c:pt idx="6">
                  <c:v>0.47272212757726156</c:v>
                </c:pt>
                <c:pt idx="7">
                  <c:v>0.47487050185754831</c:v>
                </c:pt>
                <c:pt idx="8">
                  <c:v>0.4763263393699112</c:v>
                </c:pt>
                <c:pt idx="9">
                  <c:v>0.4763263393699112</c:v>
                </c:pt>
                <c:pt idx="10">
                  <c:v>0.4763263393699112</c:v>
                </c:pt>
                <c:pt idx="11">
                  <c:v>0.4763263393699112</c:v>
                </c:pt>
                <c:pt idx="12">
                  <c:v>0.4763263393699112</c:v>
                </c:pt>
                <c:pt idx="13">
                  <c:v>0.4763263393699112</c:v>
                </c:pt>
                <c:pt idx="14">
                  <c:v>0.47950366365709229</c:v>
                </c:pt>
                <c:pt idx="15">
                  <c:v>0.48912936944483071</c:v>
                </c:pt>
                <c:pt idx="16">
                  <c:v>0.48912936944483071</c:v>
                </c:pt>
                <c:pt idx="17">
                  <c:v>0.48912936944483071</c:v>
                </c:pt>
                <c:pt idx="18">
                  <c:v>0.48912936944483071</c:v>
                </c:pt>
                <c:pt idx="19">
                  <c:v>0.48912936944483071</c:v>
                </c:pt>
                <c:pt idx="20">
                  <c:v>0.48912936944483071</c:v>
                </c:pt>
                <c:pt idx="21">
                  <c:v>0.49116677884520382</c:v>
                </c:pt>
                <c:pt idx="22">
                  <c:v>0.51113197021278289</c:v>
                </c:pt>
                <c:pt idx="23">
                  <c:v>0.51113197021278289</c:v>
                </c:pt>
                <c:pt idx="24">
                  <c:v>0.51113197021278289</c:v>
                </c:pt>
                <c:pt idx="25">
                  <c:v>0.51113197021278289</c:v>
                </c:pt>
                <c:pt idx="26">
                  <c:v>0.51113197021278289</c:v>
                </c:pt>
                <c:pt idx="27">
                  <c:v>0.51113197021278289</c:v>
                </c:pt>
                <c:pt idx="28">
                  <c:v>0.52550912468341116</c:v>
                </c:pt>
                <c:pt idx="29">
                  <c:v>0.56980179494216654</c:v>
                </c:pt>
              </c:numCache>
            </c:numRef>
          </c:val>
          <c:extLst>
            <c:ext xmlns:c16="http://schemas.microsoft.com/office/drawing/2014/chart" uri="{C3380CC4-5D6E-409C-BE32-E72D297353CC}">
              <c16:uniqueId val="{00000003-FA40-494A-BAE3-786FA3EC133B}"/>
            </c:ext>
          </c:extLst>
        </c:ser>
        <c:ser>
          <c:idx val="4"/>
          <c:order val="4"/>
          <c:tx>
            <c:strRef>
              <c:f>Dashboard!$B$132</c:f>
              <c:strCache>
                <c:ptCount val="1"/>
                <c:pt idx="0">
                  <c:v>Taxes &amp; fees</c:v>
                </c:pt>
              </c:strCache>
            </c:strRef>
          </c:tx>
          <c:spPr>
            <a:solidFill>
              <a:schemeClr val="accent5"/>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Dashboard!$C$132:$AF$132</c:f>
              <c:numCache>
                <c:formatCode>General</c:formatCode>
                <c:ptCount val="30"/>
                <c:pt idx="0">
                  <c:v>1.4095140793188059</c:v>
                </c:pt>
                <c:pt idx="1">
                  <c:v>1.4095140793188059</c:v>
                </c:pt>
                <c:pt idx="2">
                  <c:v>1.4095140793188059</c:v>
                </c:pt>
                <c:pt idx="3">
                  <c:v>1.4095140793188059</c:v>
                </c:pt>
                <c:pt idx="4">
                  <c:v>1.4095140793188059</c:v>
                </c:pt>
                <c:pt idx="5">
                  <c:v>1.4095140793188059</c:v>
                </c:pt>
                <c:pt idx="6">
                  <c:v>1.4095140793188059</c:v>
                </c:pt>
                <c:pt idx="7">
                  <c:v>0.57114132240303328</c:v>
                </c:pt>
                <c:pt idx="8">
                  <c:v>3.0212699240034367E-3</c:v>
                </c:pt>
                <c:pt idx="9">
                  <c:v>3.0212699240034367E-3</c:v>
                </c:pt>
                <c:pt idx="10">
                  <c:v>3.0212699240034367E-3</c:v>
                </c:pt>
                <c:pt idx="11">
                  <c:v>3.0212699240034367E-3</c:v>
                </c:pt>
                <c:pt idx="12">
                  <c:v>3.0212699240034367E-3</c:v>
                </c:pt>
                <c:pt idx="13">
                  <c:v>3.0212699240034367E-3</c:v>
                </c:pt>
                <c:pt idx="14">
                  <c:v>3.0414232380535566E-3</c:v>
                </c:pt>
                <c:pt idx="15">
                  <c:v>3.1024777147643547E-3</c:v>
                </c:pt>
                <c:pt idx="16">
                  <c:v>3.1024777147643547E-3</c:v>
                </c:pt>
                <c:pt idx="17">
                  <c:v>3.1024777147643547E-3</c:v>
                </c:pt>
                <c:pt idx="18">
                  <c:v>3.1024777147643547E-3</c:v>
                </c:pt>
                <c:pt idx="19">
                  <c:v>3.1024777147643547E-3</c:v>
                </c:pt>
                <c:pt idx="20">
                  <c:v>3.1024777147643547E-3</c:v>
                </c:pt>
                <c:pt idx="21">
                  <c:v>3.1154007115324358E-3</c:v>
                </c:pt>
                <c:pt idx="22">
                  <c:v>3.2420370682067945E-3</c:v>
                </c:pt>
                <c:pt idx="23">
                  <c:v>3.2420370682067945E-3</c:v>
                </c:pt>
                <c:pt idx="24">
                  <c:v>3.2420370682067945E-3</c:v>
                </c:pt>
                <c:pt idx="25">
                  <c:v>3.2420370682067945E-3</c:v>
                </c:pt>
                <c:pt idx="26">
                  <c:v>3.2420370682067945E-3</c:v>
                </c:pt>
                <c:pt idx="27">
                  <c:v>3.2420370682067945E-3</c:v>
                </c:pt>
                <c:pt idx="28">
                  <c:v>3.3332293051347786E-3</c:v>
                </c:pt>
                <c:pt idx="29">
                  <c:v>3.6141713850617418E-3</c:v>
                </c:pt>
              </c:numCache>
            </c:numRef>
          </c:val>
          <c:extLst>
            <c:ext xmlns:c16="http://schemas.microsoft.com/office/drawing/2014/chart" uri="{C3380CC4-5D6E-409C-BE32-E72D297353CC}">
              <c16:uniqueId val="{00000004-FA40-494A-BAE3-786FA3EC133B}"/>
            </c:ext>
          </c:extLst>
        </c:ser>
        <c:ser>
          <c:idx val="5"/>
          <c:order val="5"/>
          <c:tx>
            <c:strRef>
              <c:f>Dashboard!$B$133</c:f>
              <c:strCache>
                <c:ptCount val="1"/>
                <c:pt idx="0">
                  <c:v>Maintenance</c:v>
                </c:pt>
              </c:strCache>
            </c:strRef>
          </c:tx>
          <c:spPr>
            <a:solidFill>
              <a:schemeClr val="accent6"/>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Dashboard!$C$133:$AF$133</c:f>
              <c:numCache>
                <c:formatCode>General</c:formatCode>
                <c:ptCount val="30"/>
                <c:pt idx="0">
                  <c:v>0.37386016641010023</c:v>
                </c:pt>
                <c:pt idx="1">
                  <c:v>0.37386016641010023</c:v>
                </c:pt>
                <c:pt idx="2">
                  <c:v>0.37386016641010023</c:v>
                </c:pt>
                <c:pt idx="3">
                  <c:v>0.37386016641010023</c:v>
                </c:pt>
                <c:pt idx="4">
                  <c:v>0.37386016641010023</c:v>
                </c:pt>
                <c:pt idx="5">
                  <c:v>0.37386016641010023</c:v>
                </c:pt>
                <c:pt idx="6">
                  <c:v>0.37386016641010023</c:v>
                </c:pt>
                <c:pt idx="7">
                  <c:v>0.39649580317329491</c:v>
                </c:pt>
                <c:pt idx="8">
                  <c:v>0.41183475477891629</c:v>
                </c:pt>
                <c:pt idx="9">
                  <c:v>0.41183475477891629</c:v>
                </c:pt>
                <c:pt idx="10">
                  <c:v>0.41183475477891629</c:v>
                </c:pt>
                <c:pt idx="11">
                  <c:v>0.41183475477891629</c:v>
                </c:pt>
                <c:pt idx="12">
                  <c:v>0.41183475477891629</c:v>
                </c:pt>
                <c:pt idx="13">
                  <c:v>0.41183475477891629</c:v>
                </c:pt>
                <c:pt idx="14">
                  <c:v>0.42094503185575965</c:v>
                </c:pt>
                <c:pt idx="15">
                  <c:v>0.44854462159240305</c:v>
                </c:pt>
                <c:pt idx="16">
                  <c:v>0.44854462159240305</c:v>
                </c:pt>
                <c:pt idx="17">
                  <c:v>0.44854462159240305</c:v>
                </c:pt>
                <c:pt idx="18">
                  <c:v>0.44854462159240305</c:v>
                </c:pt>
                <c:pt idx="19">
                  <c:v>0.44854462159240305</c:v>
                </c:pt>
                <c:pt idx="20">
                  <c:v>0.44854462159240305</c:v>
                </c:pt>
                <c:pt idx="21">
                  <c:v>0.45902751423251303</c:v>
                </c:pt>
                <c:pt idx="22">
                  <c:v>0.56175255202180152</c:v>
                </c:pt>
                <c:pt idx="23">
                  <c:v>0.56175255202180152</c:v>
                </c:pt>
                <c:pt idx="24">
                  <c:v>0.56175255202180152</c:v>
                </c:pt>
                <c:pt idx="25">
                  <c:v>0.56175255202180152</c:v>
                </c:pt>
                <c:pt idx="26">
                  <c:v>0.56175255202180152</c:v>
                </c:pt>
                <c:pt idx="27">
                  <c:v>0.56175255202180152</c:v>
                </c:pt>
                <c:pt idx="28">
                  <c:v>0.58508620331698646</c:v>
                </c:pt>
                <c:pt idx="29">
                  <c:v>0.65697175792112017</c:v>
                </c:pt>
              </c:numCache>
            </c:numRef>
          </c:val>
          <c:extLst>
            <c:ext xmlns:c16="http://schemas.microsoft.com/office/drawing/2014/chart" uri="{C3380CC4-5D6E-409C-BE32-E72D297353CC}">
              <c16:uniqueId val="{00000005-FA40-494A-BAE3-786FA3EC133B}"/>
            </c:ext>
          </c:extLst>
        </c:ser>
        <c:ser>
          <c:idx val="6"/>
          <c:order val="6"/>
          <c:tx>
            <c:strRef>
              <c:f>Dashboard!$B$134</c:f>
              <c:strCache>
                <c:ptCount val="1"/>
                <c:pt idx="0">
                  <c:v>Repair</c:v>
                </c:pt>
              </c:strCache>
            </c:strRef>
          </c:tx>
          <c:spPr>
            <a:solidFill>
              <a:schemeClr val="accent1">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Dashboard!$C$134:$AF$134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FA40-494A-BAE3-786FA3EC133B}"/>
            </c:ext>
          </c:extLst>
        </c:ser>
        <c:ser>
          <c:idx val="7"/>
          <c:order val="7"/>
          <c:tx>
            <c:strRef>
              <c:f>Dashboard!$B$135</c:f>
              <c:strCache>
                <c:ptCount val="1"/>
                <c:pt idx="0">
                  <c:v>Operational</c:v>
                </c:pt>
              </c:strCache>
            </c:strRef>
          </c:tx>
          <c:spPr>
            <a:solidFill>
              <a:schemeClr val="accent2">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Dashboard!$C$135:$AF$135</c:f>
              <c:numCache>
                <c:formatCode>General</c:formatCode>
                <c:ptCount val="30"/>
                <c:pt idx="0">
                  <c:v>2.5731029939009945E-2</c:v>
                </c:pt>
                <c:pt idx="1">
                  <c:v>2.5731029939009945E-2</c:v>
                </c:pt>
                <c:pt idx="2">
                  <c:v>2.5731029939009945E-2</c:v>
                </c:pt>
                <c:pt idx="3">
                  <c:v>2.5731029939009945E-2</c:v>
                </c:pt>
                <c:pt idx="4">
                  <c:v>2.5731029939009945E-2</c:v>
                </c:pt>
                <c:pt idx="5">
                  <c:v>2.5731029939009945E-2</c:v>
                </c:pt>
                <c:pt idx="6">
                  <c:v>2.5731029939009945E-2</c:v>
                </c:pt>
                <c:pt idx="7">
                  <c:v>2.5731029939009942E-2</c:v>
                </c:pt>
                <c:pt idx="8">
                  <c:v>2.5731029939009938E-2</c:v>
                </c:pt>
                <c:pt idx="9">
                  <c:v>2.5731029939009938E-2</c:v>
                </c:pt>
                <c:pt idx="10">
                  <c:v>2.5731029939009938E-2</c:v>
                </c:pt>
                <c:pt idx="11">
                  <c:v>2.5731029939009938E-2</c:v>
                </c:pt>
                <c:pt idx="12">
                  <c:v>2.5731029939009938E-2</c:v>
                </c:pt>
                <c:pt idx="13">
                  <c:v>2.5731029939009938E-2</c:v>
                </c:pt>
                <c:pt idx="14">
                  <c:v>2.5731029939009942E-2</c:v>
                </c:pt>
                <c:pt idx="15">
                  <c:v>2.5731029939009942E-2</c:v>
                </c:pt>
                <c:pt idx="16">
                  <c:v>2.5731029939009942E-2</c:v>
                </c:pt>
                <c:pt idx="17">
                  <c:v>2.5731029939009942E-2</c:v>
                </c:pt>
                <c:pt idx="18">
                  <c:v>2.5731029939009942E-2</c:v>
                </c:pt>
                <c:pt idx="19">
                  <c:v>2.5731029939009942E-2</c:v>
                </c:pt>
                <c:pt idx="20">
                  <c:v>2.5731029939009942E-2</c:v>
                </c:pt>
                <c:pt idx="21">
                  <c:v>2.5731029939009942E-2</c:v>
                </c:pt>
                <c:pt idx="22">
                  <c:v>2.5731029939009942E-2</c:v>
                </c:pt>
                <c:pt idx="23">
                  <c:v>2.5731029939009942E-2</c:v>
                </c:pt>
                <c:pt idx="24">
                  <c:v>2.5731029939009942E-2</c:v>
                </c:pt>
                <c:pt idx="25">
                  <c:v>2.5731029939009942E-2</c:v>
                </c:pt>
                <c:pt idx="26">
                  <c:v>2.5731029939009942E-2</c:v>
                </c:pt>
                <c:pt idx="27">
                  <c:v>2.5731029939009942E-2</c:v>
                </c:pt>
                <c:pt idx="28">
                  <c:v>2.5731029939009942E-2</c:v>
                </c:pt>
                <c:pt idx="29">
                  <c:v>2.5731029939009942E-2</c:v>
                </c:pt>
              </c:numCache>
            </c:numRef>
          </c:val>
          <c:extLst>
            <c:ext xmlns:c16="http://schemas.microsoft.com/office/drawing/2014/chart" uri="{C3380CC4-5D6E-409C-BE32-E72D297353CC}">
              <c16:uniqueId val="{00000007-FA40-494A-BAE3-786FA3EC133B}"/>
            </c:ext>
          </c:extLst>
        </c:ser>
        <c:ser>
          <c:idx val="9"/>
          <c:order val="8"/>
          <c:tx>
            <c:strRef>
              <c:f>Dashboard!$B$136</c:f>
              <c:strCache>
                <c:ptCount val="1"/>
                <c:pt idx="0">
                  <c:v>Labor</c:v>
                </c:pt>
              </c:strCache>
            </c:strRef>
          </c:tx>
          <c:spPr>
            <a:solidFill>
              <a:schemeClr val="accent4">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Dashboard!$C$136:$AF$136</c:f>
              <c:numCache>
                <c:formatCode>General</c:formatCode>
                <c:ptCount val="30"/>
                <c:pt idx="0">
                  <c:v>2.002081774229167</c:v>
                </c:pt>
                <c:pt idx="1">
                  <c:v>2.002081774229167</c:v>
                </c:pt>
                <c:pt idx="2">
                  <c:v>2.002081774229167</c:v>
                </c:pt>
                <c:pt idx="3">
                  <c:v>2.002081774229167</c:v>
                </c:pt>
                <c:pt idx="4">
                  <c:v>2.002081774229167</c:v>
                </c:pt>
                <c:pt idx="5">
                  <c:v>2.002081774229167</c:v>
                </c:pt>
                <c:pt idx="6">
                  <c:v>2.002081774229167</c:v>
                </c:pt>
                <c:pt idx="7">
                  <c:v>2.0020817742291666</c:v>
                </c:pt>
                <c:pt idx="8">
                  <c:v>2.0020817742291666</c:v>
                </c:pt>
                <c:pt idx="9">
                  <c:v>2.0020817742291666</c:v>
                </c:pt>
                <c:pt idx="10">
                  <c:v>2.0020817742291666</c:v>
                </c:pt>
                <c:pt idx="11">
                  <c:v>2.0020817742291666</c:v>
                </c:pt>
                <c:pt idx="12">
                  <c:v>2.0020817742291666</c:v>
                </c:pt>
                <c:pt idx="13">
                  <c:v>2.0020817742291666</c:v>
                </c:pt>
                <c:pt idx="14">
                  <c:v>2.0020817742291666</c:v>
                </c:pt>
                <c:pt idx="15">
                  <c:v>2.002081774229167</c:v>
                </c:pt>
                <c:pt idx="16">
                  <c:v>2.002081774229167</c:v>
                </c:pt>
                <c:pt idx="17">
                  <c:v>2.002081774229167</c:v>
                </c:pt>
                <c:pt idx="18">
                  <c:v>2.002081774229167</c:v>
                </c:pt>
                <c:pt idx="19">
                  <c:v>2.002081774229167</c:v>
                </c:pt>
                <c:pt idx="20">
                  <c:v>2.002081774229167</c:v>
                </c:pt>
                <c:pt idx="21">
                  <c:v>2.002081774229167</c:v>
                </c:pt>
                <c:pt idx="22">
                  <c:v>2.0020817742291666</c:v>
                </c:pt>
                <c:pt idx="23">
                  <c:v>2.0020817742291666</c:v>
                </c:pt>
                <c:pt idx="24">
                  <c:v>2.0020817742291666</c:v>
                </c:pt>
                <c:pt idx="25">
                  <c:v>2.0020817742291666</c:v>
                </c:pt>
                <c:pt idx="26">
                  <c:v>2.0020817742291666</c:v>
                </c:pt>
                <c:pt idx="27">
                  <c:v>2.0020817742291666</c:v>
                </c:pt>
                <c:pt idx="28">
                  <c:v>2.0020817742291666</c:v>
                </c:pt>
                <c:pt idx="29">
                  <c:v>2.0020817742291666</c:v>
                </c:pt>
              </c:numCache>
            </c:numRef>
          </c:val>
          <c:extLst>
            <c:ext xmlns:c16="http://schemas.microsoft.com/office/drawing/2014/chart" uri="{C3380CC4-5D6E-409C-BE32-E72D297353CC}">
              <c16:uniqueId val="{00000008-FA40-494A-BAE3-786FA3EC133B}"/>
            </c:ext>
          </c:extLst>
        </c:ser>
        <c:dLbls>
          <c:showLegendKey val="0"/>
          <c:showVal val="0"/>
          <c:showCatName val="0"/>
          <c:showSerName val="0"/>
          <c:showPercent val="0"/>
          <c:showBubbleSize val="0"/>
        </c:dLbls>
        <c:gapWidth val="0"/>
        <c:overlap val="100"/>
        <c:axId val="719907416"/>
        <c:axId val="719909056"/>
      </c:barChart>
      <c:catAx>
        <c:axId val="719907416"/>
        <c:scaling>
          <c:orientation val="minMax"/>
        </c:scaling>
        <c:delete val="0"/>
        <c:axPos val="b"/>
        <c:numFmt formatCode="#,&quot;k&quot;;;0" sourceLinked="1"/>
        <c:majorTickMark val="none"/>
        <c:minorTickMark val="none"/>
        <c:tickLblPos val="nextTo"/>
        <c:spPr>
          <a:noFill/>
          <a:ln w="12700"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Dashboard!$N$29</c:f>
          <c:strCache>
            <c:ptCount val="1"/>
            <c:pt idx="0">
              <c:v>Total Cost of Ownership, BEV, Class 8 Bus, MY2020</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Dashboard!$N$3</c:f>
              <c:strCache>
                <c:ptCount val="1"/>
                <c:pt idx="0">
                  <c:v>Vehicle</c:v>
                </c:pt>
              </c:strCache>
            </c:strRef>
          </c:tx>
          <c:spPr>
            <a:solidFill>
              <a:schemeClr val="accent1"/>
            </a:solidFill>
            <a:ln>
              <a:noFill/>
            </a:ln>
            <a:effectLst/>
          </c:spPr>
          <c:invertIfNegative val="0"/>
          <c:cat>
            <c:strRef>
              <c:f>Dashboard!$O$2</c:f>
              <c:strCache>
                <c:ptCount val="1"/>
                <c:pt idx="0">
                  <c:v>BEV</c:v>
                </c:pt>
              </c:strCache>
            </c:strRef>
          </c:cat>
          <c:val>
            <c:numRef>
              <c:f>Dashboard!$O$3</c:f>
              <c:numCache>
                <c:formatCode>"$"#,##0</c:formatCode>
                <c:ptCount val="1"/>
                <c:pt idx="0">
                  <c:v>358472.63679710939</c:v>
                </c:pt>
              </c:numCache>
            </c:numRef>
          </c:val>
          <c:extLst>
            <c:ext xmlns:c16="http://schemas.microsoft.com/office/drawing/2014/chart" uri="{C3380CC4-5D6E-409C-BE32-E72D297353CC}">
              <c16:uniqueId val="{00000000-2889-4BBF-A745-F0336090AADE}"/>
            </c:ext>
          </c:extLst>
        </c:ser>
        <c:ser>
          <c:idx val="1"/>
          <c:order val="1"/>
          <c:tx>
            <c:strRef>
              <c:f>Dashboard!$N$4</c:f>
              <c:strCache>
                <c:ptCount val="1"/>
                <c:pt idx="0">
                  <c:v>Financing</c:v>
                </c:pt>
              </c:strCache>
            </c:strRef>
          </c:tx>
          <c:spPr>
            <a:solidFill>
              <a:schemeClr val="accent2"/>
            </a:solidFill>
            <a:ln>
              <a:noFill/>
            </a:ln>
            <a:effectLst/>
          </c:spPr>
          <c:invertIfNegative val="0"/>
          <c:cat>
            <c:strRef>
              <c:f>Dashboard!$O$2</c:f>
              <c:strCache>
                <c:ptCount val="1"/>
                <c:pt idx="0">
                  <c:v>BEV</c:v>
                </c:pt>
              </c:strCache>
            </c:strRef>
          </c:cat>
          <c:val>
            <c:numRef>
              <c:f>Dashboard!$O$4</c:f>
              <c:numCache>
                <c:formatCode>"$"#,##0</c:formatCode>
                <c:ptCount val="1"/>
                <c:pt idx="0">
                  <c:v>44423.644118193981</c:v>
                </c:pt>
              </c:numCache>
            </c:numRef>
          </c:val>
          <c:extLst>
            <c:ext xmlns:c16="http://schemas.microsoft.com/office/drawing/2014/chart" uri="{C3380CC4-5D6E-409C-BE32-E72D297353CC}">
              <c16:uniqueId val="{00000001-2889-4BBF-A745-F0336090AADE}"/>
            </c:ext>
          </c:extLst>
        </c:ser>
        <c:ser>
          <c:idx val="2"/>
          <c:order val="2"/>
          <c:tx>
            <c:strRef>
              <c:f>Dashboard!$N$5</c:f>
              <c:strCache>
                <c:ptCount val="1"/>
                <c:pt idx="0">
                  <c:v>Fuel</c:v>
                </c:pt>
              </c:strCache>
            </c:strRef>
          </c:tx>
          <c:spPr>
            <a:solidFill>
              <a:schemeClr val="accent3"/>
            </a:solidFill>
            <a:ln>
              <a:noFill/>
            </a:ln>
            <a:effectLst/>
          </c:spPr>
          <c:invertIfNegative val="0"/>
          <c:cat>
            <c:strRef>
              <c:f>Dashboard!$O$2</c:f>
              <c:strCache>
                <c:ptCount val="1"/>
                <c:pt idx="0">
                  <c:v>BEV</c:v>
                </c:pt>
              </c:strCache>
            </c:strRef>
          </c:cat>
          <c:val>
            <c:numRef>
              <c:f>Dashboard!$O$5</c:f>
              <c:numCache>
                <c:formatCode>"$"#,##0</c:formatCode>
                <c:ptCount val="1"/>
                <c:pt idx="0">
                  <c:v>74993.598553214921</c:v>
                </c:pt>
              </c:numCache>
            </c:numRef>
          </c:val>
          <c:extLst>
            <c:ext xmlns:c16="http://schemas.microsoft.com/office/drawing/2014/chart" uri="{C3380CC4-5D6E-409C-BE32-E72D297353CC}">
              <c16:uniqueId val="{00000002-2889-4BBF-A745-F0336090AADE}"/>
            </c:ext>
          </c:extLst>
        </c:ser>
        <c:ser>
          <c:idx val="3"/>
          <c:order val="3"/>
          <c:tx>
            <c:strRef>
              <c:f>Dashboard!$N$6</c:f>
              <c:strCache>
                <c:ptCount val="1"/>
                <c:pt idx="0">
                  <c:v>Insurance</c:v>
                </c:pt>
              </c:strCache>
            </c:strRef>
          </c:tx>
          <c:spPr>
            <a:solidFill>
              <a:schemeClr val="accent4"/>
            </a:solidFill>
            <a:ln>
              <a:noFill/>
            </a:ln>
            <a:effectLst/>
          </c:spPr>
          <c:invertIfNegative val="0"/>
          <c:cat>
            <c:strRef>
              <c:f>Dashboard!$O$2</c:f>
              <c:strCache>
                <c:ptCount val="1"/>
                <c:pt idx="0">
                  <c:v>BEV</c:v>
                </c:pt>
              </c:strCache>
            </c:strRef>
          </c:cat>
          <c:val>
            <c:numRef>
              <c:f>Dashboard!$O$6</c:f>
              <c:numCache>
                <c:formatCode>"$"#,##0</c:formatCode>
                <c:ptCount val="1"/>
                <c:pt idx="0">
                  <c:v>283773.75864754181</c:v>
                </c:pt>
              </c:numCache>
            </c:numRef>
          </c:val>
          <c:extLst>
            <c:ext xmlns:c16="http://schemas.microsoft.com/office/drawing/2014/chart" uri="{C3380CC4-5D6E-409C-BE32-E72D297353CC}">
              <c16:uniqueId val="{00000003-2889-4BBF-A745-F0336090AADE}"/>
            </c:ext>
          </c:extLst>
        </c:ser>
        <c:ser>
          <c:idx val="4"/>
          <c:order val="4"/>
          <c:tx>
            <c:strRef>
              <c:f>Dashboard!$N$7</c:f>
              <c:strCache>
                <c:ptCount val="1"/>
                <c:pt idx="0">
                  <c:v>Taxes &amp; fees</c:v>
                </c:pt>
              </c:strCache>
            </c:strRef>
          </c:tx>
          <c:spPr>
            <a:solidFill>
              <a:schemeClr val="accent5"/>
            </a:solidFill>
            <a:ln>
              <a:noFill/>
            </a:ln>
            <a:effectLst/>
          </c:spPr>
          <c:invertIfNegative val="0"/>
          <c:cat>
            <c:strRef>
              <c:f>Dashboard!$O$2</c:f>
              <c:strCache>
                <c:ptCount val="1"/>
                <c:pt idx="0">
                  <c:v>BEV</c:v>
                </c:pt>
              </c:strCache>
            </c:strRef>
          </c:cat>
          <c:val>
            <c:numRef>
              <c:f>Dashboard!$O$7</c:f>
              <c:numCache>
                <c:formatCode>"$"#,##0</c:formatCode>
                <c:ptCount val="1"/>
                <c:pt idx="0">
                  <c:v>105937.32620614902</c:v>
                </c:pt>
              </c:numCache>
            </c:numRef>
          </c:val>
          <c:extLst>
            <c:ext xmlns:c16="http://schemas.microsoft.com/office/drawing/2014/chart" uri="{C3380CC4-5D6E-409C-BE32-E72D297353CC}">
              <c16:uniqueId val="{00000004-2889-4BBF-A745-F0336090AADE}"/>
            </c:ext>
          </c:extLst>
        </c:ser>
        <c:ser>
          <c:idx val="5"/>
          <c:order val="5"/>
          <c:tx>
            <c:strRef>
              <c:f>Dashboard!$N$8</c:f>
              <c:strCache>
                <c:ptCount val="1"/>
                <c:pt idx="0">
                  <c:v>Maintenance</c:v>
                </c:pt>
              </c:strCache>
            </c:strRef>
          </c:tx>
          <c:spPr>
            <a:solidFill>
              <a:schemeClr val="accent6"/>
            </a:solidFill>
            <a:ln>
              <a:noFill/>
            </a:ln>
            <a:effectLst/>
          </c:spPr>
          <c:invertIfNegative val="0"/>
          <c:cat>
            <c:strRef>
              <c:f>Dashboard!$O$2</c:f>
              <c:strCache>
                <c:ptCount val="1"/>
                <c:pt idx="0">
                  <c:v>BEV</c:v>
                </c:pt>
              </c:strCache>
            </c:strRef>
          </c:cat>
          <c:val>
            <c:numRef>
              <c:f>Dashboard!$O$8</c:f>
              <c:numCache>
                <c:formatCode>"$"#,##0</c:formatCode>
                <c:ptCount val="1"/>
                <c:pt idx="0">
                  <c:v>296930.70698738238</c:v>
                </c:pt>
              </c:numCache>
            </c:numRef>
          </c:val>
          <c:extLst>
            <c:ext xmlns:c16="http://schemas.microsoft.com/office/drawing/2014/chart" uri="{C3380CC4-5D6E-409C-BE32-E72D297353CC}">
              <c16:uniqueId val="{00000005-2889-4BBF-A745-F0336090AADE}"/>
            </c:ext>
          </c:extLst>
        </c:ser>
        <c:ser>
          <c:idx val="6"/>
          <c:order val="6"/>
          <c:tx>
            <c:strRef>
              <c:f>Dashboard!$N$9</c:f>
              <c:strCache>
                <c:ptCount val="1"/>
                <c:pt idx="0">
                  <c:v>Repair</c:v>
                </c:pt>
              </c:strCache>
            </c:strRef>
          </c:tx>
          <c:spPr>
            <a:solidFill>
              <a:schemeClr val="accent1">
                <a:lumMod val="60000"/>
              </a:schemeClr>
            </a:solidFill>
            <a:ln>
              <a:noFill/>
            </a:ln>
            <a:effectLst/>
          </c:spPr>
          <c:invertIfNegative val="0"/>
          <c:cat>
            <c:strRef>
              <c:f>Dashboard!$O$2</c:f>
              <c:strCache>
                <c:ptCount val="1"/>
                <c:pt idx="0">
                  <c:v>BEV</c:v>
                </c:pt>
              </c:strCache>
            </c:strRef>
          </c:cat>
          <c:val>
            <c:numRef>
              <c:f>Dashboard!$O$9</c:f>
              <c:numCache>
                <c:formatCode>"$"#,##0</c:formatCode>
                <c:ptCount val="1"/>
                <c:pt idx="0">
                  <c:v>0</c:v>
                </c:pt>
              </c:numCache>
            </c:numRef>
          </c:val>
          <c:extLst>
            <c:ext xmlns:c16="http://schemas.microsoft.com/office/drawing/2014/chart" uri="{C3380CC4-5D6E-409C-BE32-E72D297353CC}">
              <c16:uniqueId val="{00000006-2889-4BBF-A745-F0336090AADE}"/>
            </c:ext>
          </c:extLst>
        </c:ser>
        <c:ser>
          <c:idx val="7"/>
          <c:order val="7"/>
          <c:tx>
            <c:strRef>
              <c:f>Dashboard!$N$10</c:f>
              <c:strCache>
                <c:ptCount val="1"/>
                <c:pt idx="0">
                  <c:v>Operational</c:v>
                </c:pt>
              </c:strCache>
            </c:strRef>
          </c:tx>
          <c:spPr>
            <a:solidFill>
              <a:schemeClr val="accent2">
                <a:lumMod val="60000"/>
              </a:schemeClr>
            </a:solidFill>
            <a:ln>
              <a:noFill/>
            </a:ln>
            <a:effectLst/>
          </c:spPr>
          <c:invertIfNegative val="0"/>
          <c:cat>
            <c:strRef>
              <c:f>Dashboard!$O$2</c:f>
              <c:strCache>
                <c:ptCount val="1"/>
                <c:pt idx="0">
                  <c:v>BEV</c:v>
                </c:pt>
              </c:strCache>
            </c:strRef>
          </c:cat>
          <c:val>
            <c:numRef>
              <c:f>Dashboard!$O$10</c:f>
              <c:numCache>
                <c:formatCode>"$"#,##0</c:formatCode>
                <c:ptCount val="1"/>
                <c:pt idx="0">
                  <c:v>12353.242129211727</c:v>
                </c:pt>
              </c:numCache>
            </c:numRef>
          </c:val>
          <c:extLst>
            <c:ext xmlns:c16="http://schemas.microsoft.com/office/drawing/2014/chart" uri="{C3380CC4-5D6E-409C-BE32-E72D297353CC}">
              <c16:uniqueId val="{00000007-2889-4BBF-A745-F0336090AADE}"/>
            </c:ext>
          </c:extLst>
        </c:ser>
        <c:ser>
          <c:idx val="9"/>
          <c:order val="8"/>
          <c:tx>
            <c:strRef>
              <c:f>Dashboard!$N$11</c:f>
              <c:strCache>
                <c:ptCount val="1"/>
                <c:pt idx="0">
                  <c:v>Labor</c:v>
                </c:pt>
              </c:strCache>
            </c:strRef>
          </c:tx>
          <c:spPr>
            <a:solidFill>
              <a:schemeClr val="accent4">
                <a:lumMod val="60000"/>
              </a:schemeClr>
            </a:solidFill>
            <a:ln>
              <a:noFill/>
            </a:ln>
            <a:effectLst/>
          </c:spPr>
          <c:invertIfNegative val="0"/>
          <c:cat>
            <c:strRef>
              <c:f>Dashboard!$O$2</c:f>
              <c:strCache>
                <c:ptCount val="1"/>
                <c:pt idx="0">
                  <c:v>BEV</c:v>
                </c:pt>
              </c:strCache>
            </c:strRef>
          </c:cat>
          <c:val>
            <c:numRef>
              <c:f>Dashboard!$O$11</c:f>
              <c:numCache>
                <c:formatCode>"$"#,##0</c:formatCode>
                <c:ptCount val="1"/>
                <c:pt idx="0">
                  <c:v>961181.92618629115</c:v>
                </c:pt>
              </c:numCache>
            </c:numRef>
          </c:val>
          <c:extLst>
            <c:ext xmlns:c16="http://schemas.microsoft.com/office/drawing/2014/chart" uri="{C3380CC4-5D6E-409C-BE32-E72D297353CC}">
              <c16:uniqueId val="{00000009-2889-4BBF-A745-F0336090AADE}"/>
            </c:ext>
          </c:extLst>
        </c:ser>
        <c:dLbls>
          <c:showLegendKey val="0"/>
          <c:showVal val="0"/>
          <c:showCatName val="0"/>
          <c:showSerName val="0"/>
          <c:showPercent val="0"/>
          <c:showBubbleSize val="0"/>
        </c:dLbls>
        <c:gapWidth val="150"/>
        <c:overlap val="100"/>
        <c:axId val="719907416"/>
        <c:axId val="719909056"/>
      </c:barChart>
      <c:catAx>
        <c:axId val="719907416"/>
        <c:scaling>
          <c:orientation val="minMax"/>
        </c:scaling>
        <c:delete val="1"/>
        <c:axPos val="b"/>
        <c:numFmt formatCode="General" sourceLinked="1"/>
        <c:majorTickMark val="none"/>
        <c:minorTickMark val="none"/>
        <c:tickLblPos val="nextTo"/>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Dashboard!$N$27</c:f>
          <c:strCache>
            <c:ptCount val="1"/>
            <c:pt idx="0">
              <c:v>Annual Cost of Ownership,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Dashboard!$B$57</c:f>
              <c:strCache>
                <c:ptCount val="1"/>
                <c:pt idx="0">
                  <c:v>Vehicle</c:v>
                </c:pt>
              </c:strCache>
            </c:strRef>
          </c:tx>
          <c:spPr>
            <a:solidFill>
              <a:schemeClr val="accent1"/>
            </a:solidFill>
            <a:ln>
              <a:noFill/>
            </a:ln>
            <a:effectLst/>
          </c:spPr>
          <c:invertIfNegative val="0"/>
          <c:val>
            <c:numRef>
              <c:f>Dashboard!$C$57:$AF$57</c:f>
              <c:numCache>
                <c:formatCode>"$"#,##0</c:formatCode>
                <c:ptCount val="30"/>
                <c:pt idx="0">
                  <c:v>53522.05892201457</c:v>
                </c:pt>
                <c:pt idx="1">
                  <c:v>48865.901573504307</c:v>
                </c:pt>
                <c:pt idx="2">
                  <c:v>44538.97422778848</c:v>
                </c:pt>
                <c:pt idx="3">
                  <c:v>40543.257764170667</c:v>
                </c:pt>
                <c:pt idx="4">
                  <c:v>36727.105718893326</c:v>
                </c:pt>
                <c:pt idx="5">
                  <c:v>33327.900054978847</c:v>
                </c:pt>
                <c:pt idx="6">
                  <c:v>30290.82744247984</c:v>
                </c:pt>
                <c:pt idx="7">
                  <c:v>27569.65022033513</c:v>
                </c:pt>
                <c:pt idx="8">
                  <c:v>25125.173634911091</c:v>
                </c:pt>
                <c:pt idx="9">
                  <c:v>22924.014843756057</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E7E9-49E1-B422-EE1C9D299348}"/>
            </c:ext>
          </c:extLst>
        </c:ser>
        <c:ser>
          <c:idx val="1"/>
          <c:order val="1"/>
          <c:tx>
            <c:strRef>
              <c:f>Dashboard!$B$58</c:f>
              <c:strCache>
                <c:ptCount val="1"/>
                <c:pt idx="0">
                  <c:v>Financing</c:v>
                </c:pt>
              </c:strCache>
            </c:strRef>
          </c:tx>
          <c:spPr>
            <a:solidFill>
              <a:schemeClr val="accent2"/>
            </a:solidFill>
            <a:ln>
              <a:noFill/>
            </a:ln>
            <a:effectLst/>
          </c:spPr>
          <c:invertIfNegative val="0"/>
          <c:val>
            <c:numRef>
              <c:f>Dashboard!$C$58:$AF$58</c:f>
              <c:numCache>
                <c:formatCode>"$"#,##0</c:formatCode>
                <c:ptCount val="30"/>
                <c:pt idx="0">
                  <c:v>15786.090933882107</c:v>
                </c:pt>
                <c:pt idx="1">
                  <c:v>12735.107525265281</c:v>
                </c:pt>
                <c:pt idx="2">
                  <c:v>9559.8223451587401</c:v>
                </c:pt>
                <c:pt idx="3">
                  <c:v>6255.1711476042983</c:v>
                </c:pt>
                <c:pt idx="4">
                  <c:v>2815.8833614497707</c:v>
                </c:pt>
                <c:pt idx="5">
                  <c:v>150.28527079805281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E7E9-49E1-B422-EE1C9D299348}"/>
            </c:ext>
          </c:extLst>
        </c:ser>
        <c:ser>
          <c:idx val="2"/>
          <c:order val="2"/>
          <c:tx>
            <c:strRef>
              <c:f>Dashboard!$B$59</c:f>
              <c:strCache>
                <c:ptCount val="1"/>
                <c:pt idx="0">
                  <c:v>Fuel</c:v>
                </c:pt>
              </c:strCache>
            </c:strRef>
          </c:tx>
          <c:spPr>
            <a:solidFill>
              <a:schemeClr val="accent3"/>
            </a:solidFill>
            <a:ln>
              <a:noFill/>
            </a:ln>
            <a:effectLst/>
          </c:spPr>
          <c:invertIfNegative val="0"/>
          <c:val>
            <c:numRef>
              <c:f>Dashboard!$C$59:$AF$59</c:f>
              <c:numCache>
                <c:formatCode>"$"#,##0</c:formatCode>
                <c:ptCount val="30"/>
                <c:pt idx="0">
                  <c:v>11565.449659918078</c:v>
                </c:pt>
                <c:pt idx="1">
                  <c:v>11477.937535128354</c:v>
                </c:pt>
                <c:pt idx="2">
                  <c:v>11177.500904984699</c:v>
                </c:pt>
                <c:pt idx="3">
                  <c:v>10696.345148099797</c:v>
                </c:pt>
                <c:pt idx="4">
                  <c:v>9594.9925362714985</c:v>
                </c:pt>
                <c:pt idx="5">
                  <c:v>8607.0410496674085</c:v>
                </c:pt>
                <c:pt idx="6">
                  <c:v>7720.8143050257031</c:v>
                </c:pt>
                <c:pt idx="7">
                  <c:v>6925.8381816353731</c:v>
                </c:pt>
                <c:pt idx="8">
                  <c:v>6212.717029986733</c:v>
                </c:pt>
                <c:pt idx="9">
                  <c:v>5573.0226266379796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E7E9-49E1-B422-EE1C9D299348}"/>
            </c:ext>
          </c:extLst>
        </c:ser>
        <c:ser>
          <c:idx val="3"/>
          <c:order val="3"/>
          <c:tx>
            <c:strRef>
              <c:f>Dashboard!$B$60</c:f>
              <c:strCache>
                <c:ptCount val="1"/>
                <c:pt idx="0">
                  <c:v>Insurance</c:v>
                </c:pt>
              </c:strCache>
            </c:strRef>
          </c:tx>
          <c:spPr>
            <a:solidFill>
              <a:schemeClr val="accent4"/>
            </a:solidFill>
            <a:ln>
              <a:noFill/>
            </a:ln>
            <a:effectLst/>
          </c:spPr>
          <c:invertIfNegative val="0"/>
          <c:val>
            <c:numRef>
              <c:f>Dashboard!$C$60:$AF$60</c:f>
              <c:numCache>
                <c:formatCode>"$"#,##0</c:formatCode>
                <c:ptCount val="30"/>
                <c:pt idx="0">
                  <c:v>35000</c:v>
                </c:pt>
                <c:pt idx="1">
                  <c:v>35000</c:v>
                </c:pt>
                <c:pt idx="2">
                  <c:v>35000</c:v>
                </c:pt>
                <c:pt idx="3">
                  <c:v>35000</c:v>
                </c:pt>
                <c:pt idx="4">
                  <c:v>35000</c:v>
                </c:pt>
                <c:pt idx="5">
                  <c:v>35000</c:v>
                </c:pt>
                <c:pt idx="6">
                  <c:v>35000</c:v>
                </c:pt>
                <c:pt idx="7">
                  <c:v>35000</c:v>
                </c:pt>
                <c:pt idx="8">
                  <c:v>35000</c:v>
                </c:pt>
                <c:pt idx="9">
                  <c:v>35000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E7E9-49E1-B422-EE1C9D299348}"/>
            </c:ext>
          </c:extLst>
        </c:ser>
        <c:ser>
          <c:idx val="4"/>
          <c:order val="4"/>
          <c:tx>
            <c:strRef>
              <c:f>Dashboard!$B$61</c:f>
              <c:strCache>
                <c:ptCount val="1"/>
                <c:pt idx="0">
                  <c:v>Taxes &amp; fees</c:v>
                </c:pt>
              </c:strCache>
            </c:strRef>
          </c:tx>
          <c:spPr>
            <a:solidFill>
              <a:schemeClr val="accent5"/>
            </a:solidFill>
            <a:ln>
              <a:noFill/>
            </a:ln>
            <a:effectLst/>
          </c:spPr>
          <c:invertIfNegative val="0"/>
          <c:val>
            <c:numRef>
              <c:f>Dashboard!$C$61:$AF$61</c:f>
              <c:numCache>
                <c:formatCode>"$"#,##0</c:formatCode>
                <c:ptCount val="30"/>
                <c:pt idx="0">
                  <c:v>104359.38979415604</c:v>
                </c:pt>
                <c:pt idx="1">
                  <c:v>222</c:v>
                </c:pt>
                <c:pt idx="2">
                  <c:v>222</c:v>
                </c:pt>
                <c:pt idx="3">
                  <c:v>222</c:v>
                </c:pt>
                <c:pt idx="4">
                  <c:v>222</c:v>
                </c:pt>
                <c:pt idx="5">
                  <c:v>222</c:v>
                </c:pt>
                <c:pt idx="6">
                  <c:v>222</c:v>
                </c:pt>
                <c:pt idx="7">
                  <c:v>222</c:v>
                </c:pt>
                <c:pt idx="8">
                  <c:v>222</c:v>
                </c:pt>
                <c:pt idx="9">
                  <c:v>222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E7E9-49E1-B422-EE1C9D299348}"/>
            </c:ext>
          </c:extLst>
        </c:ser>
        <c:ser>
          <c:idx val="5"/>
          <c:order val="5"/>
          <c:tx>
            <c:strRef>
              <c:f>Dashboard!$B$62</c:f>
              <c:strCache>
                <c:ptCount val="1"/>
                <c:pt idx="0">
                  <c:v>Maintenance</c:v>
                </c:pt>
              </c:strCache>
            </c:strRef>
          </c:tx>
          <c:spPr>
            <a:solidFill>
              <a:schemeClr val="accent6"/>
            </a:solidFill>
            <a:ln>
              <a:noFill/>
            </a:ln>
            <a:effectLst/>
          </c:spPr>
          <c:invertIfNegative val="0"/>
          <c:val>
            <c:numRef>
              <c:f>Dashboard!$C$62:$AF$62</c:f>
              <c:numCache>
                <c:formatCode>"$"#,##0</c:formatCode>
                <c:ptCount val="30"/>
                <c:pt idx="0">
                  <c:v>27680.332823461667</c:v>
                </c:pt>
                <c:pt idx="1">
                  <c:v>30261.220566406901</c:v>
                </c:pt>
                <c:pt idx="2">
                  <c:v>32095.929495202425</c:v>
                </c:pt>
                <c:pt idx="3">
                  <c:v>38466.267943635161</c:v>
                </c:pt>
                <c:pt idx="4">
                  <c:v>40354.403463353505</c:v>
                </c:pt>
                <c:pt idx="5">
                  <c:v>39330.131179694064</c:v>
                </c:pt>
                <c:pt idx="6">
                  <c:v>40176.9998261781</c:v>
                </c:pt>
                <c:pt idx="7">
                  <c:v>40567.150198495016</c:v>
                </c:pt>
                <c:pt idx="8">
                  <c:v>40646.803228155441</c:v>
                </c:pt>
                <c:pt idx="9">
                  <c:v>43051.49632571471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E7E9-49E1-B422-EE1C9D299348}"/>
            </c:ext>
          </c:extLst>
        </c:ser>
        <c:ser>
          <c:idx val="6"/>
          <c:order val="6"/>
          <c:tx>
            <c:strRef>
              <c:f>Dashboard!$B$63</c:f>
              <c:strCache>
                <c:ptCount val="1"/>
                <c:pt idx="0">
                  <c:v>Repair</c:v>
                </c:pt>
              </c:strCache>
            </c:strRef>
          </c:tx>
          <c:spPr>
            <a:solidFill>
              <a:schemeClr val="accent1">
                <a:lumMod val="60000"/>
              </a:schemeClr>
            </a:solidFill>
            <a:ln>
              <a:noFill/>
            </a:ln>
            <a:effectLst/>
          </c:spPr>
          <c:invertIfNegative val="0"/>
          <c:val>
            <c:numRef>
              <c:f>Dashboard!$C$63:$AF$63</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E7E9-49E1-B422-EE1C9D299348}"/>
            </c:ext>
          </c:extLst>
        </c:ser>
        <c:ser>
          <c:idx val="7"/>
          <c:order val="7"/>
          <c:tx>
            <c:strRef>
              <c:f>Dashboard!$B$64</c:f>
              <c:strCache>
                <c:ptCount val="1"/>
                <c:pt idx="0">
                  <c:v>Operational</c:v>
                </c:pt>
              </c:strCache>
            </c:strRef>
          </c:tx>
          <c:spPr>
            <a:solidFill>
              <a:schemeClr val="accent2">
                <a:lumMod val="60000"/>
              </a:schemeClr>
            </a:solidFill>
            <a:ln>
              <a:noFill/>
            </a:ln>
            <a:effectLst/>
          </c:spPr>
          <c:invertIfNegative val="0"/>
          <c:val>
            <c:numRef>
              <c:f>Dashboard!$C$64:$AF$64</c:f>
              <c:numCache>
                <c:formatCode>"$"#,##0</c:formatCode>
                <c:ptCount val="30"/>
                <c:pt idx="0">
                  <c:v>1905.1066056097754</c:v>
                </c:pt>
                <c:pt idx="1">
                  <c:v>1890.6912623321466</c:v>
                </c:pt>
                <c:pt idx="2">
                  <c:v>1841.2021524847851</c:v>
                </c:pt>
                <c:pt idx="3">
                  <c:v>1761.9442733946701</c:v>
                </c:pt>
                <c:pt idx="4">
                  <c:v>1580.5251156794886</c:v>
                </c:pt>
                <c:pt idx="5">
                  <c:v>1417.7858397761615</c:v>
                </c:pt>
                <c:pt idx="6">
                  <c:v>1271.8030656574665</c:v>
                </c:pt>
                <c:pt idx="7">
                  <c:v>1140.8514547381121</c:v>
                </c:pt>
                <c:pt idx="8">
                  <c:v>1023.3833184740962</c:v>
                </c:pt>
                <c:pt idx="9">
                  <c:v>918.0103265691755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E7E9-49E1-B422-EE1C9D299348}"/>
            </c:ext>
          </c:extLst>
        </c:ser>
        <c:ser>
          <c:idx val="9"/>
          <c:order val="8"/>
          <c:tx>
            <c:strRef>
              <c:f>Dashboard!$B$65</c:f>
              <c:strCache>
                <c:ptCount val="1"/>
                <c:pt idx="0">
                  <c:v>Labor</c:v>
                </c:pt>
              </c:strCache>
            </c:strRef>
          </c:tx>
          <c:spPr>
            <a:solidFill>
              <a:schemeClr val="accent4">
                <a:lumMod val="60000"/>
              </a:schemeClr>
            </a:solidFill>
            <a:ln>
              <a:noFill/>
            </a:ln>
            <a:effectLst/>
          </c:spPr>
          <c:invertIfNegative val="0"/>
          <c:val>
            <c:numRef>
              <c:f>Dashboard!$C$65:$AF$65</c:f>
              <c:numCache>
                <c:formatCode>"$"#,##0</c:formatCode>
                <c:ptCount val="30"/>
                <c:pt idx="0">
                  <c:v>148232.66779820487</c:v>
                </c:pt>
                <c:pt idx="1">
                  <c:v>147111.03776187109</c:v>
                </c:pt>
                <c:pt idx="2">
                  <c:v>143260.38564716448</c:v>
                </c:pt>
                <c:pt idx="3">
                  <c:v>137093.48305653757</c:v>
                </c:pt>
                <c:pt idx="4">
                  <c:v>122977.60856498014</c:v>
                </c:pt>
                <c:pt idx="5">
                  <c:v>110315.17962180976</c:v>
                </c:pt>
                <c:pt idx="6">
                  <c:v>98956.541739563429</c:v>
                </c:pt>
                <c:pt idx="7">
                  <c:v>88767.449653120653</c:v>
                </c:pt>
                <c:pt idx="8">
                  <c:v>79627.480704178393</c:v>
                </c:pt>
                <c:pt idx="9">
                  <c:v>71428.611592102883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9-E7E9-49E1-B422-EE1C9D299348}"/>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Dashboard!$N$28</c:f>
          <c:strCache>
            <c:ptCount val="1"/>
            <c:pt idx="0">
              <c:v>Per-Mile Cost of Ownership,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Dashboard!$B$105</c:f>
              <c:strCache>
                <c:ptCount val="1"/>
                <c:pt idx="0">
                  <c:v>Vehicle</c:v>
                </c:pt>
              </c:strCache>
            </c:strRef>
          </c:tx>
          <c:spPr>
            <a:solidFill>
              <a:schemeClr val="accent1"/>
            </a:solidFill>
            <a:ln>
              <a:noFill/>
            </a:ln>
            <a:effectLst/>
          </c:spPr>
          <c:invertIfNegative val="0"/>
          <c:val>
            <c:numRef>
              <c:f>Dashboard!$C$105:$AF$105</c:f>
              <c:numCache>
                <c:formatCode>"$"#,##0.00</c:formatCode>
                <c:ptCount val="30"/>
                <c:pt idx="0">
                  <c:v>0.72288747331229386</c:v>
                </c:pt>
                <c:pt idx="1">
                  <c:v>0.66503188618621978</c:v>
                </c:pt>
                <c:pt idx="2">
                  <c:v>0.62243772513593554</c:v>
                </c:pt>
                <c:pt idx="3">
                  <c:v>0.59208443485272177</c:v>
                </c:pt>
                <c:pt idx="4">
                  <c:v>0.5979191646187465</c:v>
                </c:pt>
                <c:pt idx="5">
                  <c:v>0.60485947176223931</c:v>
                </c:pt>
                <c:pt idx="6">
                  <c:v>0.61284188475902901</c:v>
                </c:pt>
                <c:pt idx="7">
                  <c:v>0.62181232471699865</c:v>
                </c:pt>
                <c:pt idx="8">
                  <c:v>0.63172477345699929</c:v>
                </c:pt>
                <c:pt idx="9">
                  <c:v>0.64254017105824712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6D4B-41C2-8AD0-1AF48F755241}"/>
            </c:ext>
          </c:extLst>
        </c:ser>
        <c:ser>
          <c:idx val="1"/>
          <c:order val="1"/>
          <c:tx>
            <c:strRef>
              <c:f>Dashboard!$B$106</c:f>
              <c:strCache>
                <c:ptCount val="1"/>
                <c:pt idx="0">
                  <c:v>Financing</c:v>
                </c:pt>
              </c:strCache>
            </c:strRef>
          </c:tx>
          <c:spPr>
            <a:solidFill>
              <a:schemeClr val="accent2"/>
            </a:solidFill>
            <a:ln>
              <a:noFill/>
            </a:ln>
            <a:effectLst/>
          </c:spPr>
          <c:invertIfNegative val="0"/>
          <c:val>
            <c:numRef>
              <c:f>Dashboard!$C$106:$AF$106</c:f>
              <c:numCache>
                <c:formatCode>"$"#,##0.00</c:formatCode>
                <c:ptCount val="30"/>
                <c:pt idx="0">
                  <c:v>0.21321241406836772</c:v>
                </c:pt>
                <c:pt idx="1">
                  <c:v>0.17331620425690916</c:v>
                </c:pt>
                <c:pt idx="2">
                  <c:v>0.13359971073405993</c:v>
                </c:pt>
                <c:pt idx="3">
                  <c:v>9.134908436266112E-2</c:v>
                </c:pt>
                <c:pt idx="4">
                  <c:v>4.584272553433888E-2</c:v>
                </c:pt>
                <c:pt idx="5">
                  <c:v>2.7274886614098433E-3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6D4B-41C2-8AD0-1AF48F755241}"/>
            </c:ext>
          </c:extLst>
        </c:ser>
        <c:ser>
          <c:idx val="2"/>
          <c:order val="2"/>
          <c:tx>
            <c:strRef>
              <c:f>Dashboard!$B$107</c:f>
              <c:strCache>
                <c:ptCount val="1"/>
                <c:pt idx="0">
                  <c:v>Fuel</c:v>
                </c:pt>
              </c:strCache>
            </c:strRef>
          </c:tx>
          <c:spPr>
            <a:solidFill>
              <a:schemeClr val="accent3"/>
            </a:solidFill>
            <a:ln>
              <a:noFill/>
            </a:ln>
            <a:effectLst/>
          </c:spPr>
          <c:invertIfNegative val="0"/>
          <c:val>
            <c:numRef>
              <c:f>Dashboard!$C$107:$AF$107</c:f>
              <c:numCache>
                <c:formatCode>"$"#,##0.00</c:formatCode>
                <c:ptCount val="30"/>
                <c:pt idx="0">
                  <c:v>0.15620697056069116</c:v>
                </c:pt>
                <c:pt idx="1">
                  <c:v>0.15620697056069116</c:v>
                </c:pt>
                <c:pt idx="2">
                  <c:v>0.15620697056069116</c:v>
                </c:pt>
                <c:pt idx="3">
                  <c:v>0.15620697056069116</c:v>
                </c:pt>
                <c:pt idx="4">
                  <c:v>0.15620697056069116</c:v>
                </c:pt>
                <c:pt idx="5">
                  <c:v>0.15620697056069116</c:v>
                </c:pt>
                <c:pt idx="6">
                  <c:v>0.15620697056069116</c:v>
                </c:pt>
                <c:pt idx="7">
                  <c:v>0.15620697056069116</c:v>
                </c:pt>
                <c:pt idx="8">
                  <c:v>0.15620697056069116</c:v>
                </c:pt>
                <c:pt idx="9">
                  <c:v>0.15620697056069116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6D4B-41C2-8AD0-1AF48F755241}"/>
            </c:ext>
          </c:extLst>
        </c:ser>
        <c:ser>
          <c:idx val="3"/>
          <c:order val="3"/>
          <c:tx>
            <c:strRef>
              <c:f>Dashboard!$B$108</c:f>
              <c:strCache>
                <c:ptCount val="1"/>
                <c:pt idx="0">
                  <c:v>Insurance</c:v>
                </c:pt>
              </c:strCache>
            </c:strRef>
          </c:tx>
          <c:spPr>
            <a:solidFill>
              <a:schemeClr val="accent4"/>
            </a:solidFill>
            <a:ln>
              <a:noFill/>
            </a:ln>
            <a:effectLst/>
          </c:spPr>
          <c:invertIfNegative val="0"/>
          <c:val>
            <c:numRef>
              <c:f>Dashboard!$C$108:$AF$108</c:f>
              <c:numCache>
                <c:formatCode>"$"#,##0.00</c:formatCode>
                <c:ptCount val="30"/>
                <c:pt idx="0">
                  <c:v>0.47272212757726156</c:v>
                </c:pt>
                <c:pt idx="1">
                  <c:v>0.4763263393699112</c:v>
                </c:pt>
                <c:pt idx="2">
                  <c:v>0.48912936944483071</c:v>
                </c:pt>
                <c:pt idx="3">
                  <c:v>0.51113197021278289</c:v>
                </c:pt>
                <c:pt idx="4">
                  <c:v>0.56980179494216654</c:v>
                </c:pt>
                <c:pt idx="5">
                  <c:v>0.63520598287787355</c:v>
                </c:pt>
                <c:pt idx="6">
                  <c:v>0.70811753186000104</c:v>
                </c:pt>
                <c:pt idx="7">
                  <c:v>0.78939816759236359</c:v>
                </c:pt>
                <c:pt idx="8">
                  <c:v>0.88000852819074316</c:v>
                </c:pt>
                <c:pt idx="9">
                  <c:v>0.9810195177553761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6D4B-41C2-8AD0-1AF48F755241}"/>
            </c:ext>
          </c:extLst>
        </c:ser>
        <c:ser>
          <c:idx val="4"/>
          <c:order val="4"/>
          <c:tx>
            <c:strRef>
              <c:f>Dashboard!$B$109</c:f>
              <c:strCache>
                <c:ptCount val="1"/>
                <c:pt idx="0">
                  <c:v>Taxes &amp; fees</c:v>
                </c:pt>
              </c:strCache>
            </c:strRef>
          </c:tx>
          <c:spPr>
            <a:solidFill>
              <a:schemeClr val="accent5"/>
            </a:solidFill>
            <a:ln>
              <a:noFill/>
            </a:ln>
            <a:effectLst/>
          </c:spPr>
          <c:invertIfNegative val="0"/>
          <c:val>
            <c:numRef>
              <c:f>Dashboard!$C$109:$AF$109</c:f>
              <c:numCache>
                <c:formatCode>"$"#,##0.00</c:formatCode>
                <c:ptCount val="30"/>
                <c:pt idx="0">
                  <c:v>1.4095140793188059</c:v>
                </c:pt>
                <c:pt idx="1">
                  <c:v>3.0212699240034367E-3</c:v>
                </c:pt>
                <c:pt idx="2">
                  <c:v>3.1024777147643547E-3</c:v>
                </c:pt>
                <c:pt idx="3">
                  <c:v>3.2420370682067945E-3</c:v>
                </c:pt>
                <c:pt idx="4">
                  <c:v>3.6141713850617418E-3</c:v>
                </c:pt>
                <c:pt idx="5">
                  <c:v>4.0290208056825124E-3</c:v>
                </c:pt>
                <c:pt idx="6">
                  <c:v>4.4914883449405779E-3</c:v>
                </c:pt>
                <c:pt idx="7">
                  <c:v>5.0070398058715626E-3</c:v>
                </c:pt>
                <c:pt idx="8">
                  <c:v>5.5817683788098567E-3</c:v>
                </c:pt>
                <c:pt idx="9">
                  <c:v>6.2224666554769568E-3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6D4B-41C2-8AD0-1AF48F755241}"/>
            </c:ext>
          </c:extLst>
        </c:ser>
        <c:ser>
          <c:idx val="5"/>
          <c:order val="5"/>
          <c:tx>
            <c:strRef>
              <c:f>Dashboard!$B$110</c:f>
              <c:strCache>
                <c:ptCount val="1"/>
                <c:pt idx="0">
                  <c:v>Maintenance</c:v>
                </c:pt>
              </c:strCache>
            </c:strRef>
          </c:tx>
          <c:spPr>
            <a:solidFill>
              <a:schemeClr val="accent6"/>
            </a:solidFill>
            <a:ln>
              <a:noFill/>
            </a:ln>
            <a:effectLst/>
          </c:spPr>
          <c:invertIfNegative val="0"/>
          <c:val>
            <c:numRef>
              <c:f>Dashboard!$C$110:$AF$110</c:f>
              <c:numCache>
                <c:formatCode>"$"#,##0.00</c:formatCode>
                <c:ptCount val="30"/>
                <c:pt idx="0">
                  <c:v>0.37386016641010023</c:v>
                </c:pt>
                <c:pt idx="1">
                  <c:v>0.41183475477891629</c:v>
                </c:pt>
                <c:pt idx="2">
                  <c:v>0.44854462159240305</c:v>
                </c:pt>
                <c:pt idx="3">
                  <c:v>0.56175255202180152</c:v>
                </c:pt>
                <c:pt idx="4">
                  <c:v>0.65697175792112017</c:v>
                </c:pt>
                <c:pt idx="5">
                  <c:v>0.71379241807752192</c:v>
                </c:pt>
                <c:pt idx="6">
                  <c:v>0.81285822727008372</c:v>
                </c:pt>
                <c:pt idx="7">
                  <c:v>0.91496097231817575</c:v>
                </c:pt>
                <c:pt idx="8">
                  <c:v>1.0219866709847949</c:v>
                </c:pt>
                <c:pt idx="9">
                  <c:v>1.206695947545714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6D4B-41C2-8AD0-1AF48F755241}"/>
            </c:ext>
          </c:extLst>
        </c:ser>
        <c:ser>
          <c:idx val="6"/>
          <c:order val="6"/>
          <c:tx>
            <c:strRef>
              <c:f>Dashboard!$B$111</c:f>
              <c:strCache>
                <c:ptCount val="1"/>
                <c:pt idx="0">
                  <c:v>Repair</c:v>
                </c:pt>
              </c:strCache>
            </c:strRef>
          </c:tx>
          <c:spPr>
            <a:solidFill>
              <a:schemeClr val="accent1">
                <a:lumMod val="60000"/>
              </a:schemeClr>
            </a:solidFill>
            <a:ln>
              <a:noFill/>
            </a:ln>
            <a:effectLst/>
          </c:spPr>
          <c:invertIfNegative val="0"/>
          <c:val>
            <c:numRef>
              <c:f>Dashboard!$C$111:$AF$111</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6D4B-41C2-8AD0-1AF48F755241}"/>
            </c:ext>
          </c:extLst>
        </c:ser>
        <c:ser>
          <c:idx val="7"/>
          <c:order val="7"/>
          <c:tx>
            <c:strRef>
              <c:f>Dashboard!$B$112</c:f>
              <c:strCache>
                <c:ptCount val="1"/>
                <c:pt idx="0">
                  <c:v>Operational</c:v>
                </c:pt>
              </c:strCache>
            </c:strRef>
          </c:tx>
          <c:spPr>
            <a:solidFill>
              <a:schemeClr val="accent2">
                <a:lumMod val="60000"/>
              </a:schemeClr>
            </a:solidFill>
            <a:ln>
              <a:noFill/>
            </a:ln>
            <a:effectLst/>
          </c:spPr>
          <c:invertIfNegative val="0"/>
          <c:val>
            <c:numRef>
              <c:f>Dashboard!$C$112:$AF$112</c:f>
              <c:numCache>
                <c:formatCode>"$"#,##0.00</c:formatCode>
                <c:ptCount val="30"/>
                <c:pt idx="0">
                  <c:v>2.5731029939009945E-2</c:v>
                </c:pt>
                <c:pt idx="1">
                  <c:v>2.5731029939009938E-2</c:v>
                </c:pt>
                <c:pt idx="2">
                  <c:v>2.5731029939009942E-2</c:v>
                </c:pt>
                <c:pt idx="3">
                  <c:v>2.5731029939009942E-2</c:v>
                </c:pt>
                <c:pt idx="4">
                  <c:v>2.5731029939009942E-2</c:v>
                </c:pt>
                <c:pt idx="5">
                  <c:v>2.5731029939009945E-2</c:v>
                </c:pt>
                <c:pt idx="6">
                  <c:v>2.5731029939009945E-2</c:v>
                </c:pt>
                <c:pt idx="7">
                  <c:v>2.5731029939009942E-2</c:v>
                </c:pt>
                <c:pt idx="8">
                  <c:v>2.5731029939009942E-2</c:v>
                </c:pt>
                <c:pt idx="9">
                  <c:v>2.5731029939009942E-2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6D4B-41C2-8AD0-1AF48F755241}"/>
            </c:ext>
          </c:extLst>
        </c:ser>
        <c:ser>
          <c:idx val="9"/>
          <c:order val="8"/>
          <c:tx>
            <c:strRef>
              <c:f>Dashboard!$B$113</c:f>
              <c:strCache>
                <c:ptCount val="1"/>
                <c:pt idx="0">
                  <c:v>Labor</c:v>
                </c:pt>
              </c:strCache>
            </c:strRef>
          </c:tx>
          <c:spPr>
            <a:solidFill>
              <a:schemeClr val="accent4">
                <a:lumMod val="60000"/>
              </a:schemeClr>
            </a:solidFill>
            <a:ln>
              <a:noFill/>
            </a:ln>
            <a:effectLst/>
          </c:spPr>
          <c:invertIfNegative val="0"/>
          <c:val>
            <c:numRef>
              <c:f>Dashboard!$C$113:$AF$113</c:f>
              <c:numCache>
                <c:formatCode>"$"#,##0.00</c:formatCode>
                <c:ptCount val="30"/>
                <c:pt idx="0">
                  <c:v>2.002081774229167</c:v>
                </c:pt>
                <c:pt idx="1">
                  <c:v>2.0020817742291666</c:v>
                </c:pt>
                <c:pt idx="2">
                  <c:v>2.002081774229167</c:v>
                </c:pt>
                <c:pt idx="3">
                  <c:v>2.0020817742291666</c:v>
                </c:pt>
                <c:pt idx="4">
                  <c:v>2.0020817742291666</c:v>
                </c:pt>
                <c:pt idx="5">
                  <c:v>2.0020817742291666</c:v>
                </c:pt>
                <c:pt idx="6">
                  <c:v>2.0020817742291666</c:v>
                </c:pt>
                <c:pt idx="7">
                  <c:v>2.0020817742291666</c:v>
                </c:pt>
                <c:pt idx="8">
                  <c:v>2.0020817742291666</c:v>
                </c:pt>
                <c:pt idx="9">
                  <c:v>2.002081774229167</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9-6D4B-41C2-8AD0-1AF48F755241}"/>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Dashboard!$N$30</c:f>
          <c:strCache>
            <c:ptCount val="1"/>
            <c:pt idx="0">
              <c:v>Per-Mile Cost of Ownership, BEV, Class 8 Bus, MY2020</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Dashboard!$N$14</c:f>
              <c:strCache>
                <c:ptCount val="1"/>
                <c:pt idx="0">
                  <c:v>Vehicle</c:v>
                </c:pt>
              </c:strCache>
            </c:strRef>
          </c:tx>
          <c:spPr>
            <a:solidFill>
              <a:schemeClr val="accent1"/>
            </a:solidFill>
            <a:ln>
              <a:noFill/>
            </a:ln>
            <a:effectLst/>
          </c:spPr>
          <c:invertIfNegative val="0"/>
          <c:cat>
            <c:strRef>
              <c:f>Dashboard!$O$13</c:f>
              <c:strCache>
                <c:ptCount val="1"/>
                <c:pt idx="0">
                  <c:v>BEV</c:v>
                </c:pt>
              </c:strCache>
            </c:strRef>
          </c:cat>
          <c:val>
            <c:numRef>
              <c:f>Dashboard!$O$14</c:f>
              <c:numCache>
                <c:formatCode>_("$"* #,##0.0000_);_("$"* \(#,##0.0000\);_("$"* "-"??_);_(@_)</c:formatCode>
                <c:ptCount val="1"/>
                <c:pt idx="0">
                  <c:v>0.74667605906716283</c:v>
                </c:pt>
              </c:numCache>
            </c:numRef>
          </c:val>
          <c:extLst>
            <c:ext xmlns:c16="http://schemas.microsoft.com/office/drawing/2014/chart" uri="{C3380CC4-5D6E-409C-BE32-E72D297353CC}">
              <c16:uniqueId val="{00000000-A5E5-480A-BD0D-E6313D462D21}"/>
            </c:ext>
          </c:extLst>
        </c:ser>
        <c:ser>
          <c:idx val="1"/>
          <c:order val="1"/>
          <c:tx>
            <c:strRef>
              <c:f>Dashboard!$N$15</c:f>
              <c:strCache>
                <c:ptCount val="1"/>
                <c:pt idx="0">
                  <c:v>Financing</c:v>
                </c:pt>
              </c:strCache>
            </c:strRef>
          </c:tx>
          <c:spPr>
            <a:solidFill>
              <a:schemeClr val="accent2"/>
            </a:solidFill>
            <a:ln>
              <a:noFill/>
            </a:ln>
            <a:effectLst/>
          </c:spPr>
          <c:invertIfNegative val="0"/>
          <c:cat>
            <c:strRef>
              <c:f>Dashboard!$O$13</c:f>
              <c:strCache>
                <c:ptCount val="1"/>
                <c:pt idx="0">
                  <c:v>BEV</c:v>
                </c:pt>
              </c:strCache>
            </c:strRef>
          </c:cat>
          <c:val>
            <c:numRef>
              <c:f>Dashboard!$O$15</c:f>
              <c:numCache>
                <c:formatCode>_("$"* #,##0.0000_);_("$"* \(#,##0.0000\);_("$"* "-"??_);_(@_)</c:formatCode>
                <c:ptCount val="1"/>
                <c:pt idx="0">
                  <c:v>9.2531669407026562E-2</c:v>
                </c:pt>
              </c:numCache>
            </c:numRef>
          </c:val>
          <c:extLst>
            <c:ext xmlns:c16="http://schemas.microsoft.com/office/drawing/2014/chart" uri="{C3380CC4-5D6E-409C-BE32-E72D297353CC}">
              <c16:uniqueId val="{00000001-A5E5-480A-BD0D-E6313D462D21}"/>
            </c:ext>
          </c:extLst>
        </c:ser>
        <c:ser>
          <c:idx val="2"/>
          <c:order val="2"/>
          <c:tx>
            <c:strRef>
              <c:f>Dashboard!$N$16</c:f>
              <c:strCache>
                <c:ptCount val="1"/>
                <c:pt idx="0">
                  <c:v>Fuel</c:v>
                </c:pt>
              </c:strCache>
            </c:strRef>
          </c:tx>
          <c:spPr>
            <a:solidFill>
              <a:schemeClr val="accent3"/>
            </a:solidFill>
            <a:ln>
              <a:noFill/>
            </a:ln>
            <a:effectLst/>
          </c:spPr>
          <c:invertIfNegative val="0"/>
          <c:cat>
            <c:strRef>
              <c:f>Dashboard!$O$13</c:f>
              <c:strCache>
                <c:ptCount val="1"/>
                <c:pt idx="0">
                  <c:v>BEV</c:v>
                </c:pt>
              </c:strCache>
            </c:strRef>
          </c:cat>
          <c:val>
            <c:numRef>
              <c:f>Dashboard!$O$16</c:f>
              <c:numCache>
                <c:formatCode>_("$"* #,##0.0000_);_("$"* \(#,##0.0000\);_("$"* "-"??_);_(@_)</c:formatCode>
                <c:ptCount val="1"/>
                <c:pt idx="0">
                  <c:v>0.15620697056069116</c:v>
                </c:pt>
              </c:numCache>
            </c:numRef>
          </c:val>
          <c:extLst>
            <c:ext xmlns:c16="http://schemas.microsoft.com/office/drawing/2014/chart" uri="{C3380CC4-5D6E-409C-BE32-E72D297353CC}">
              <c16:uniqueId val="{00000002-A5E5-480A-BD0D-E6313D462D21}"/>
            </c:ext>
          </c:extLst>
        </c:ser>
        <c:ser>
          <c:idx val="3"/>
          <c:order val="3"/>
          <c:tx>
            <c:strRef>
              <c:f>Dashboard!$N$17</c:f>
              <c:strCache>
                <c:ptCount val="1"/>
                <c:pt idx="0">
                  <c:v>Insurance</c:v>
                </c:pt>
              </c:strCache>
            </c:strRef>
          </c:tx>
          <c:spPr>
            <a:solidFill>
              <a:schemeClr val="accent4"/>
            </a:solidFill>
            <a:ln>
              <a:noFill/>
            </a:ln>
            <a:effectLst/>
          </c:spPr>
          <c:invertIfNegative val="0"/>
          <c:cat>
            <c:strRef>
              <c:f>Dashboard!$O$13</c:f>
              <c:strCache>
                <c:ptCount val="1"/>
                <c:pt idx="0">
                  <c:v>BEV</c:v>
                </c:pt>
              </c:strCache>
            </c:strRef>
          </c:cat>
          <c:val>
            <c:numRef>
              <c:f>Dashboard!$O$17</c:f>
              <c:numCache>
                <c:formatCode>_("$"* #,##0.0000_);_("$"* \(#,##0.0000\);_("$"* "-"??_);_(@_)</c:formatCode>
                <c:ptCount val="1"/>
                <c:pt idx="0">
                  <c:v>0.59108297265531018</c:v>
                </c:pt>
              </c:numCache>
            </c:numRef>
          </c:val>
          <c:extLst>
            <c:ext xmlns:c16="http://schemas.microsoft.com/office/drawing/2014/chart" uri="{C3380CC4-5D6E-409C-BE32-E72D297353CC}">
              <c16:uniqueId val="{00000003-A5E5-480A-BD0D-E6313D462D21}"/>
            </c:ext>
          </c:extLst>
        </c:ser>
        <c:ser>
          <c:idx val="4"/>
          <c:order val="4"/>
          <c:tx>
            <c:strRef>
              <c:f>Dashboard!$N$18</c:f>
              <c:strCache>
                <c:ptCount val="1"/>
                <c:pt idx="0">
                  <c:v>Taxes &amp; fees</c:v>
                </c:pt>
              </c:strCache>
            </c:strRef>
          </c:tx>
          <c:spPr>
            <a:solidFill>
              <a:schemeClr val="accent5"/>
            </a:solidFill>
            <a:ln>
              <a:noFill/>
            </a:ln>
            <a:effectLst/>
          </c:spPr>
          <c:invertIfNegative val="0"/>
          <c:cat>
            <c:strRef>
              <c:f>Dashboard!$O$13</c:f>
              <c:strCache>
                <c:ptCount val="1"/>
                <c:pt idx="0">
                  <c:v>BEV</c:v>
                </c:pt>
              </c:strCache>
            </c:strRef>
          </c:cat>
          <c:val>
            <c:numRef>
              <c:f>Dashboard!$O$18</c:f>
              <c:numCache>
                <c:formatCode>_("$"* #,##0.0000_);_("$"* \(#,##0.0000\);_("$"* "-"??_);_(@_)</c:formatCode>
                <c:ptCount val="1"/>
                <c:pt idx="0">
                  <c:v>0.2206608179259435</c:v>
                </c:pt>
              </c:numCache>
            </c:numRef>
          </c:val>
          <c:extLst>
            <c:ext xmlns:c16="http://schemas.microsoft.com/office/drawing/2014/chart" uri="{C3380CC4-5D6E-409C-BE32-E72D297353CC}">
              <c16:uniqueId val="{00000004-A5E5-480A-BD0D-E6313D462D21}"/>
            </c:ext>
          </c:extLst>
        </c:ser>
        <c:ser>
          <c:idx val="5"/>
          <c:order val="5"/>
          <c:tx>
            <c:strRef>
              <c:f>Dashboard!$N$19</c:f>
              <c:strCache>
                <c:ptCount val="1"/>
                <c:pt idx="0">
                  <c:v>Maintenance</c:v>
                </c:pt>
              </c:strCache>
            </c:strRef>
          </c:tx>
          <c:spPr>
            <a:solidFill>
              <a:schemeClr val="accent6"/>
            </a:solidFill>
            <a:ln>
              <a:noFill/>
            </a:ln>
            <a:effectLst/>
          </c:spPr>
          <c:invertIfNegative val="0"/>
          <c:cat>
            <c:strRef>
              <c:f>Dashboard!$O$13</c:f>
              <c:strCache>
                <c:ptCount val="1"/>
                <c:pt idx="0">
                  <c:v>BEV</c:v>
                </c:pt>
              </c:strCache>
            </c:strRef>
          </c:cat>
          <c:val>
            <c:numRef>
              <c:f>Dashboard!$O$19</c:f>
              <c:numCache>
                <c:formatCode>_("$"* #,##0.0000_);_("$"* \(#,##0.0000\);_("$"* "-"??_);_(@_)</c:formatCode>
                <c:ptCount val="1"/>
                <c:pt idx="0">
                  <c:v>0.61848807231233827</c:v>
                </c:pt>
              </c:numCache>
            </c:numRef>
          </c:val>
          <c:extLst>
            <c:ext xmlns:c16="http://schemas.microsoft.com/office/drawing/2014/chart" uri="{C3380CC4-5D6E-409C-BE32-E72D297353CC}">
              <c16:uniqueId val="{00000005-A5E5-480A-BD0D-E6313D462D21}"/>
            </c:ext>
          </c:extLst>
        </c:ser>
        <c:ser>
          <c:idx val="6"/>
          <c:order val="6"/>
          <c:tx>
            <c:strRef>
              <c:f>Dashboard!$N$20</c:f>
              <c:strCache>
                <c:ptCount val="1"/>
                <c:pt idx="0">
                  <c:v>Repair</c:v>
                </c:pt>
              </c:strCache>
            </c:strRef>
          </c:tx>
          <c:spPr>
            <a:solidFill>
              <a:schemeClr val="accent1">
                <a:lumMod val="60000"/>
              </a:schemeClr>
            </a:solidFill>
            <a:ln>
              <a:noFill/>
            </a:ln>
            <a:effectLst/>
          </c:spPr>
          <c:invertIfNegative val="0"/>
          <c:cat>
            <c:strRef>
              <c:f>Dashboard!$O$13</c:f>
              <c:strCache>
                <c:ptCount val="1"/>
                <c:pt idx="0">
                  <c:v>BEV</c:v>
                </c:pt>
              </c:strCache>
            </c:strRef>
          </c:cat>
          <c:val>
            <c:numRef>
              <c:f>Dashboard!$O$20</c:f>
              <c:numCache>
                <c:formatCode>_("$"* #,##0.0000_);_("$"* \(#,##0.0000\);_("$"* "-"??_);_(@_)</c:formatCode>
                <c:ptCount val="1"/>
                <c:pt idx="0">
                  <c:v>0</c:v>
                </c:pt>
              </c:numCache>
            </c:numRef>
          </c:val>
          <c:extLst>
            <c:ext xmlns:c16="http://schemas.microsoft.com/office/drawing/2014/chart" uri="{C3380CC4-5D6E-409C-BE32-E72D297353CC}">
              <c16:uniqueId val="{00000006-A5E5-480A-BD0D-E6313D462D21}"/>
            </c:ext>
          </c:extLst>
        </c:ser>
        <c:ser>
          <c:idx val="7"/>
          <c:order val="7"/>
          <c:tx>
            <c:strRef>
              <c:f>Dashboard!$N$21</c:f>
              <c:strCache>
                <c:ptCount val="1"/>
                <c:pt idx="0">
                  <c:v>Operational</c:v>
                </c:pt>
              </c:strCache>
            </c:strRef>
          </c:tx>
          <c:spPr>
            <a:solidFill>
              <a:schemeClr val="accent2">
                <a:lumMod val="60000"/>
              </a:schemeClr>
            </a:solidFill>
            <a:ln>
              <a:noFill/>
            </a:ln>
            <a:effectLst/>
          </c:spPr>
          <c:invertIfNegative val="0"/>
          <c:cat>
            <c:strRef>
              <c:f>Dashboard!$O$13</c:f>
              <c:strCache>
                <c:ptCount val="1"/>
                <c:pt idx="0">
                  <c:v>BEV</c:v>
                </c:pt>
              </c:strCache>
            </c:strRef>
          </c:cat>
          <c:val>
            <c:numRef>
              <c:f>Dashboard!$O$21</c:f>
              <c:numCache>
                <c:formatCode>_("$"* #,##0.0000_);_("$"* \(#,##0.0000\);_("$"* "-"??_);_(@_)</c:formatCode>
                <c:ptCount val="1"/>
                <c:pt idx="0">
                  <c:v>2.5731029939009945E-2</c:v>
                </c:pt>
              </c:numCache>
            </c:numRef>
          </c:val>
          <c:extLst>
            <c:ext xmlns:c16="http://schemas.microsoft.com/office/drawing/2014/chart" uri="{C3380CC4-5D6E-409C-BE32-E72D297353CC}">
              <c16:uniqueId val="{00000007-A5E5-480A-BD0D-E6313D462D21}"/>
            </c:ext>
          </c:extLst>
        </c:ser>
        <c:ser>
          <c:idx val="9"/>
          <c:order val="8"/>
          <c:tx>
            <c:strRef>
              <c:f>Dashboard!$N$22</c:f>
              <c:strCache>
                <c:ptCount val="1"/>
                <c:pt idx="0">
                  <c:v>Labor</c:v>
                </c:pt>
              </c:strCache>
            </c:strRef>
          </c:tx>
          <c:spPr>
            <a:solidFill>
              <a:schemeClr val="accent4">
                <a:lumMod val="60000"/>
              </a:schemeClr>
            </a:solidFill>
            <a:ln>
              <a:noFill/>
            </a:ln>
            <a:effectLst/>
          </c:spPr>
          <c:invertIfNegative val="0"/>
          <c:cat>
            <c:strRef>
              <c:f>Dashboard!$O$13</c:f>
              <c:strCache>
                <c:ptCount val="1"/>
                <c:pt idx="0">
                  <c:v>BEV</c:v>
                </c:pt>
              </c:strCache>
            </c:strRef>
          </c:cat>
          <c:val>
            <c:numRef>
              <c:f>Dashboard!$O$22</c:f>
              <c:numCache>
                <c:formatCode>_("$"* #,##0.0000_);_("$"* \(#,##0.0000\);_("$"* "-"??_);_(@_)</c:formatCode>
                <c:ptCount val="1"/>
                <c:pt idx="0">
                  <c:v>2.002081774229167</c:v>
                </c:pt>
              </c:numCache>
            </c:numRef>
          </c:val>
          <c:extLst>
            <c:ext xmlns:c16="http://schemas.microsoft.com/office/drawing/2014/chart" uri="{C3380CC4-5D6E-409C-BE32-E72D297353CC}">
              <c16:uniqueId val="{00000009-A5E5-480A-BD0D-E6313D462D21}"/>
            </c:ext>
          </c:extLst>
        </c:ser>
        <c:dLbls>
          <c:showLegendKey val="0"/>
          <c:showVal val="0"/>
          <c:showCatName val="0"/>
          <c:showSerName val="0"/>
          <c:showPercent val="0"/>
          <c:showBubbleSize val="0"/>
        </c:dLbls>
        <c:gapWidth val="150"/>
        <c:overlap val="100"/>
        <c:axId val="719907416"/>
        <c:axId val="719909056"/>
      </c:barChart>
      <c:catAx>
        <c:axId val="719907416"/>
        <c:scaling>
          <c:orientation val="minMax"/>
        </c:scaling>
        <c:delete val="1"/>
        <c:axPos val="b"/>
        <c:numFmt formatCode="General" sourceLinked="1"/>
        <c:majorTickMark val="none"/>
        <c:minorTickMark val="none"/>
        <c:tickLblPos val="nextTo"/>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Dashboard!$AO$3</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Dashboard!$B$128</c:f>
              <c:strCache>
                <c:ptCount val="1"/>
                <c:pt idx="0">
                  <c:v>Vehicle</c:v>
                </c:pt>
              </c:strCache>
            </c:strRef>
          </c:tx>
          <c:spPr>
            <a:solidFill>
              <a:schemeClr val="accent1"/>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Dashboard!$C$128:$AF$128</c:f>
              <c:numCache>
                <c:formatCode>General</c:formatCode>
                <c:ptCount val="30"/>
                <c:pt idx="0">
                  <c:v>0.72288747331229386</c:v>
                </c:pt>
                <c:pt idx="1">
                  <c:v>0.72288747331229386</c:v>
                </c:pt>
                <c:pt idx="2">
                  <c:v>0.72288747331229386</c:v>
                </c:pt>
                <c:pt idx="3">
                  <c:v>0.72288747331229386</c:v>
                </c:pt>
                <c:pt idx="4">
                  <c:v>0.72288747331229386</c:v>
                </c:pt>
                <c:pt idx="5">
                  <c:v>0.72288747331229386</c:v>
                </c:pt>
                <c:pt idx="6">
                  <c:v>0.72288747331229386</c:v>
                </c:pt>
                <c:pt idx="7">
                  <c:v>0.6884013047674733</c:v>
                </c:pt>
                <c:pt idx="8">
                  <c:v>0.66503188618621978</c:v>
                </c:pt>
                <c:pt idx="9">
                  <c:v>0.66503188618621978</c:v>
                </c:pt>
                <c:pt idx="10">
                  <c:v>0.66503188618621978</c:v>
                </c:pt>
                <c:pt idx="11">
                  <c:v>0.66503188618621978</c:v>
                </c:pt>
                <c:pt idx="12">
                  <c:v>0.66503188618621978</c:v>
                </c:pt>
                <c:pt idx="13">
                  <c:v>0.66503188618621978</c:v>
                </c:pt>
                <c:pt idx="14">
                  <c:v>0.65446130550295734</c:v>
                </c:pt>
                <c:pt idx="15">
                  <c:v>0.62243772513593554</c:v>
                </c:pt>
                <c:pt idx="16">
                  <c:v>0.62243772513593554</c:v>
                </c:pt>
                <c:pt idx="17">
                  <c:v>0.62243772513593554</c:v>
                </c:pt>
                <c:pt idx="18">
                  <c:v>0.62243772513593554</c:v>
                </c:pt>
                <c:pt idx="19">
                  <c:v>0.62243772513593554</c:v>
                </c:pt>
                <c:pt idx="20">
                  <c:v>0.62243772513593554</c:v>
                </c:pt>
                <c:pt idx="21">
                  <c:v>0.61962705381541827</c:v>
                </c:pt>
                <c:pt idx="22">
                  <c:v>0.59208443485272177</c:v>
                </c:pt>
                <c:pt idx="23">
                  <c:v>0.59208443485272177</c:v>
                </c:pt>
                <c:pt idx="24">
                  <c:v>0.59208443485272177</c:v>
                </c:pt>
                <c:pt idx="25">
                  <c:v>0.59208443485272177</c:v>
                </c:pt>
                <c:pt idx="26">
                  <c:v>0.59208443485272177</c:v>
                </c:pt>
                <c:pt idx="27">
                  <c:v>0.59208443485272177</c:v>
                </c:pt>
                <c:pt idx="28">
                  <c:v>0.59351424671132946</c:v>
                </c:pt>
                <c:pt idx="29">
                  <c:v>0.5979191646187465</c:v>
                </c:pt>
              </c:numCache>
            </c:numRef>
          </c:val>
          <c:extLst>
            <c:ext xmlns:c16="http://schemas.microsoft.com/office/drawing/2014/chart" uri="{C3380CC4-5D6E-409C-BE32-E72D297353CC}">
              <c16:uniqueId val="{00000000-97CA-4438-81D9-32FB4BE17B1D}"/>
            </c:ext>
          </c:extLst>
        </c:ser>
        <c:ser>
          <c:idx val="1"/>
          <c:order val="1"/>
          <c:tx>
            <c:strRef>
              <c:f>Dashboard!$B$129</c:f>
              <c:strCache>
                <c:ptCount val="1"/>
                <c:pt idx="0">
                  <c:v>Financing</c:v>
                </c:pt>
              </c:strCache>
            </c:strRef>
          </c:tx>
          <c:spPr>
            <a:solidFill>
              <a:schemeClr val="accent2"/>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Dashboard!$C$129:$AF$129</c:f>
              <c:numCache>
                <c:formatCode>General</c:formatCode>
                <c:ptCount val="30"/>
                <c:pt idx="0">
                  <c:v>0.21321241406836772</c:v>
                </c:pt>
                <c:pt idx="1">
                  <c:v>0.21321241406836772</c:v>
                </c:pt>
                <c:pt idx="2">
                  <c:v>0.21321241406836772</c:v>
                </c:pt>
                <c:pt idx="3">
                  <c:v>0.21321241406836772</c:v>
                </c:pt>
                <c:pt idx="4">
                  <c:v>0.21321241406836772</c:v>
                </c:pt>
                <c:pt idx="5">
                  <c:v>0.21321241406836772</c:v>
                </c:pt>
                <c:pt idx="6">
                  <c:v>0.21321241406836772</c:v>
                </c:pt>
                <c:pt idx="7">
                  <c:v>0.18943135014347295</c:v>
                </c:pt>
                <c:pt idx="8">
                  <c:v>0.17331620425690916</c:v>
                </c:pt>
                <c:pt idx="9">
                  <c:v>0.17331620425690916</c:v>
                </c:pt>
                <c:pt idx="10">
                  <c:v>0.17331620425690916</c:v>
                </c:pt>
                <c:pt idx="11">
                  <c:v>0.17331620425690916</c:v>
                </c:pt>
                <c:pt idx="12">
                  <c:v>0.17331620425690916</c:v>
                </c:pt>
                <c:pt idx="13">
                  <c:v>0.17331620425690916</c:v>
                </c:pt>
                <c:pt idx="14">
                  <c:v>0.16345977349533314</c:v>
                </c:pt>
                <c:pt idx="15">
                  <c:v>0.13359971073405993</c:v>
                </c:pt>
                <c:pt idx="16">
                  <c:v>0.13359971073405993</c:v>
                </c:pt>
                <c:pt idx="17">
                  <c:v>0.13359971073405993</c:v>
                </c:pt>
                <c:pt idx="18">
                  <c:v>0.13359971073405993</c:v>
                </c:pt>
                <c:pt idx="19">
                  <c:v>0.13359971073405993</c:v>
                </c:pt>
                <c:pt idx="20">
                  <c:v>0.13359971073405993</c:v>
                </c:pt>
                <c:pt idx="21">
                  <c:v>0.12968736308713433</c:v>
                </c:pt>
                <c:pt idx="22">
                  <c:v>9.134908436266112E-2</c:v>
                </c:pt>
                <c:pt idx="23">
                  <c:v>9.134908436266112E-2</c:v>
                </c:pt>
                <c:pt idx="24">
                  <c:v>9.134908436266112E-2</c:v>
                </c:pt>
                <c:pt idx="25">
                  <c:v>9.134908436266112E-2</c:v>
                </c:pt>
                <c:pt idx="26">
                  <c:v>9.134908436266112E-2</c:v>
                </c:pt>
                <c:pt idx="27">
                  <c:v>9.134908436266112E-2</c:v>
                </c:pt>
                <c:pt idx="28">
                  <c:v>8.0197662770924966E-2</c:v>
                </c:pt>
                <c:pt idx="29">
                  <c:v>4.584272553433888E-2</c:v>
                </c:pt>
              </c:numCache>
            </c:numRef>
          </c:val>
          <c:extLst>
            <c:ext xmlns:c16="http://schemas.microsoft.com/office/drawing/2014/chart" uri="{C3380CC4-5D6E-409C-BE32-E72D297353CC}">
              <c16:uniqueId val="{00000001-97CA-4438-81D9-32FB4BE17B1D}"/>
            </c:ext>
          </c:extLst>
        </c:ser>
        <c:ser>
          <c:idx val="2"/>
          <c:order val="2"/>
          <c:tx>
            <c:strRef>
              <c:f>Dashboard!$B$130</c:f>
              <c:strCache>
                <c:ptCount val="1"/>
                <c:pt idx="0">
                  <c:v>Fuel</c:v>
                </c:pt>
              </c:strCache>
            </c:strRef>
          </c:tx>
          <c:spPr>
            <a:solidFill>
              <a:schemeClr val="accent3"/>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Dashboard!$C$130:$AF$130</c:f>
              <c:numCache>
                <c:formatCode>General</c:formatCode>
                <c:ptCount val="30"/>
                <c:pt idx="0">
                  <c:v>0.15620697056069116</c:v>
                </c:pt>
                <c:pt idx="1">
                  <c:v>0.15620697056069116</c:v>
                </c:pt>
                <c:pt idx="2">
                  <c:v>0.15620697056069116</c:v>
                </c:pt>
                <c:pt idx="3">
                  <c:v>0.15620697056069116</c:v>
                </c:pt>
                <c:pt idx="4">
                  <c:v>0.15620697056069116</c:v>
                </c:pt>
                <c:pt idx="5">
                  <c:v>0.15620697056069116</c:v>
                </c:pt>
                <c:pt idx="6">
                  <c:v>0.15620697056069116</c:v>
                </c:pt>
                <c:pt idx="7">
                  <c:v>0.15620697056069116</c:v>
                </c:pt>
                <c:pt idx="8">
                  <c:v>0.15620697056069116</c:v>
                </c:pt>
                <c:pt idx="9">
                  <c:v>0.15620697056069116</c:v>
                </c:pt>
                <c:pt idx="10">
                  <c:v>0.15620697056069116</c:v>
                </c:pt>
                <c:pt idx="11">
                  <c:v>0.15620697056069116</c:v>
                </c:pt>
                <c:pt idx="12">
                  <c:v>0.15620697056069116</c:v>
                </c:pt>
                <c:pt idx="13">
                  <c:v>0.15620697056069116</c:v>
                </c:pt>
                <c:pt idx="14">
                  <c:v>0.15620697056069116</c:v>
                </c:pt>
                <c:pt idx="15">
                  <c:v>0.15620697056069116</c:v>
                </c:pt>
                <c:pt idx="16">
                  <c:v>0.15620697056069116</c:v>
                </c:pt>
                <c:pt idx="17">
                  <c:v>0.15620697056069116</c:v>
                </c:pt>
                <c:pt idx="18">
                  <c:v>0.15620697056069116</c:v>
                </c:pt>
                <c:pt idx="19">
                  <c:v>0.15620697056069116</c:v>
                </c:pt>
                <c:pt idx="20">
                  <c:v>0.15620697056069116</c:v>
                </c:pt>
                <c:pt idx="21">
                  <c:v>0.15620697056069116</c:v>
                </c:pt>
                <c:pt idx="22">
                  <c:v>0.15620697056069116</c:v>
                </c:pt>
                <c:pt idx="23">
                  <c:v>0.15620697056069116</c:v>
                </c:pt>
                <c:pt idx="24">
                  <c:v>0.15620697056069116</c:v>
                </c:pt>
                <c:pt idx="25">
                  <c:v>0.15620697056069116</c:v>
                </c:pt>
                <c:pt idx="26">
                  <c:v>0.15620697056069116</c:v>
                </c:pt>
                <c:pt idx="27">
                  <c:v>0.15620697056069116</c:v>
                </c:pt>
                <c:pt idx="28">
                  <c:v>0.15620697056069116</c:v>
                </c:pt>
                <c:pt idx="29">
                  <c:v>0.15620697056069116</c:v>
                </c:pt>
              </c:numCache>
            </c:numRef>
          </c:val>
          <c:extLst>
            <c:ext xmlns:c16="http://schemas.microsoft.com/office/drawing/2014/chart" uri="{C3380CC4-5D6E-409C-BE32-E72D297353CC}">
              <c16:uniqueId val="{00000002-97CA-4438-81D9-32FB4BE17B1D}"/>
            </c:ext>
          </c:extLst>
        </c:ser>
        <c:ser>
          <c:idx val="3"/>
          <c:order val="3"/>
          <c:tx>
            <c:strRef>
              <c:f>Dashboard!$B$131</c:f>
              <c:strCache>
                <c:ptCount val="1"/>
                <c:pt idx="0">
                  <c:v>Insurance</c:v>
                </c:pt>
              </c:strCache>
            </c:strRef>
          </c:tx>
          <c:spPr>
            <a:solidFill>
              <a:schemeClr val="accent4"/>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Dashboard!$C$131:$AF$131</c:f>
              <c:numCache>
                <c:formatCode>General</c:formatCode>
                <c:ptCount val="30"/>
                <c:pt idx="0">
                  <c:v>0.47272212757726156</c:v>
                </c:pt>
                <c:pt idx="1">
                  <c:v>0.47272212757726156</c:v>
                </c:pt>
                <c:pt idx="2">
                  <c:v>0.47272212757726156</c:v>
                </c:pt>
                <c:pt idx="3">
                  <c:v>0.47272212757726156</c:v>
                </c:pt>
                <c:pt idx="4">
                  <c:v>0.47272212757726156</c:v>
                </c:pt>
                <c:pt idx="5">
                  <c:v>0.47272212757726156</c:v>
                </c:pt>
                <c:pt idx="6">
                  <c:v>0.47272212757726156</c:v>
                </c:pt>
                <c:pt idx="7">
                  <c:v>0.47487050185754831</c:v>
                </c:pt>
                <c:pt idx="8">
                  <c:v>0.4763263393699112</c:v>
                </c:pt>
                <c:pt idx="9">
                  <c:v>0.4763263393699112</c:v>
                </c:pt>
                <c:pt idx="10">
                  <c:v>0.4763263393699112</c:v>
                </c:pt>
                <c:pt idx="11">
                  <c:v>0.4763263393699112</c:v>
                </c:pt>
                <c:pt idx="12">
                  <c:v>0.4763263393699112</c:v>
                </c:pt>
                <c:pt idx="13">
                  <c:v>0.4763263393699112</c:v>
                </c:pt>
                <c:pt idx="14">
                  <c:v>0.47950366365709229</c:v>
                </c:pt>
                <c:pt idx="15">
                  <c:v>0.48912936944483071</c:v>
                </c:pt>
                <c:pt idx="16">
                  <c:v>0.48912936944483071</c:v>
                </c:pt>
                <c:pt idx="17">
                  <c:v>0.48912936944483071</c:v>
                </c:pt>
                <c:pt idx="18">
                  <c:v>0.48912936944483071</c:v>
                </c:pt>
                <c:pt idx="19">
                  <c:v>0.48912936944483071</c:v>
                </c:pt>
                <c:pt idx="20">
                  <c:v>0.48912936944483071</c:v>
                </c:pt>
                <c:pt idx="21">
                  <c:v>0.49116677884520382</c:v>
                </c:pt>
                <c:pt idx="22">
                  <c:v>0.51113197021278289</c:v>
                </c:pt>
                <c:pt idx="23">
                  <c:v>0.51113197021278289</c:v>
                </c:pt>
                <c:pt idx="24">
                  <c:v>0.51113197021278289</c:v>
                </c:pt>
                <c:pt idx="25">
                  <c:v>0.51113197021278289</c:v>
                </c:pt>
                <c:pt idx="26">
                  <c:v>0.51113197021278289</c:v>
                </c:pt>
                <c:pt idx="27">
                  <c:v>0.51113197021278289</c:v>
                </c:pt>
                <c:pt idx="28">
                  <c:v>0.52550912468341116</c:v>
                </c:pt>
                <c:pt idx="29">
                  <c:v>0.56980179494216654</c:v>
                </c:pt>
              </c:numCache>
            </c:numRef>
          </c:val>
          <c:extLst>
            <c:ext xmlns:c16="http://schemas.microsoft.com/office/drawing/2014/chart" uri="{C3380CC4-5D6E-409C-BE32-E72D297353CC}">
              <c16:uniqueId val="{00000003-97CA-4438-81D9-32FB4BE17B1D}"/>
            </c:ext>
          </c:extLst>
        </c:ser>
        <c:ser>
          <c:idx val="4"/>
          <c:order val="4"/>
          <c:tx>
            <c:strRef>
              <c:f>Dashboard!$B$132</c:f>
              <c:strCache>
                <c:ptCount val="1"/>
                <c:pt idx="0">
                  <c:v>Taxes &amp; fees</c:v>
                </c:pt>
              </c:strCache>
            </c:strRef>
          </c:tx>
          <c:spPr>
            <a:solidFill>
              <a:schemeClr val="accent5"/>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Dashboard!$C$132:$AF$132</c:f>
              <c:numCache>
                <c:formatCode>General</c:formatCode>
                <c:ptCount val="30"/>
                <c:pt idx="0">
                  <c:v>1.4095140793188059</c:v>
                </c:pt>
                <c:pt idx="1">
                  <c:v>1.4095140793188059</c:v>
                </c:pt>
                <c:pt idx="2">
                  <c:v>1.4095140793188059</c:v>
                </c:pt>
                <c:pt idx="3">
                  <c:v>1.4095140793188059</c:v>
                </c:pt>
                <c:pt idx="4">
                  <c:v>1.4095140793188059</c:v>
                </c:pt>
                <c:pt idx="5">
                  <c:v>1.4095140793188059</c:v>
                </c:pt>
                <c:pt idx="6">
                  <c:v>1.4095140793188059</c:v>
                </c:pt>
                <c:pt idx="7">
                  <c:v>0.57114132240303328</c:v>
                </c:pt>
                <c:pt idx="8">
                  <c:v>3.0212699240034367E-3</c:v>
                </c:pt>
                <c:pt idx="9">
                  <c:v>3.0212699240034367E-3</c:v>
                </c:pt>
                <c:pt idx="10">
                  <c:v>3.0212699240034367E-3</c:v>
                </c:pt>
                <c:pt idx="11">
                  <c:v>3.0212699240034367E-3</c:v>
                </c:pt>
                <c:pt idx="12">
                  <c:v>3.0212699240034367E-3</c:v>
                </c:pt>
                <c:pt idx="13">
                  <c:v>3.0212699240034367E-3</c:v>
                </c:pt>
                <c:pt idx="14">
                  <c:v>3.0414232380535566E-3</c:v>
                </c:pt>
                <c:pt idx="15">
                  <c:v>3.1024777147643547E-3</c:v>
                </c:pt>
                <c:pt idx="16">
                  <c:v>3.1024777147643547E-3</c:v>
                </c:pt>
                <c:pt idx="17">
                  <c:v>3.1024777147643547E-3</c:v>
                </c:pt>
                <c:pt idx="18">
                  <c:v>3.1024777147643547E-3</c:v>
                </c:pt>
                <c:pt idx="19">
                  <c:v>3.1024777147643547E-3</c:v>
                </c:pt>
                <c:pt idx="20">
                  <c:v>3.1024777147643547E-3</c:v>
                </c:pt>
                <c:pt idx="21">
                  <c:v>3.1154007115324358E-3</c:v>
                </c:pt>
                <c:pt idx="22">
                  <c:v>3.2420370682067945E-3</c:v>
                </c:pt>
                <c:pt idx="23">
                  <c:v>3.2420370682067945E-3</c:v>
                </c:pt>
                <c:pt idx="24">
                  <c:v>3.2420370682067945E-3</c:v>
                </c:pt>
                <c:pt idx="25">
                  <c:v>3.2420370682067945E-3</c:v>
                </c:pt>
                <c:pt idx="26">
                  <c:v>3.2420370682067945E-3</c:v>
                </c:pt>
                <c:pt idx="27">
                  <c:v>3.2420370682067945E-3</c:v>
                </c:pt>
                <c:pt idx="28">
                  <c:v>3.3332293051347786E-3</c:v>
                </c:pt>
                <c:pt idx="29">
                  <c:v>3.6141713850617418E-3</c:v>
                </c:pt>
              </c:numCache>
            </c:numRef>
          </c:val>
          <c:extLst>
            <c:ext xmlns:c16="http://schemas.microsoft.com/office/drawing/2014/chart" uri="{C3380CC4-5D6E-409C-BE32-E72D297353CC}">
              <c16:uniqueId val="{00000004-97CA-4438-81D9-32FB4BE17B1D}"/>
            </c:ext>
          </c:extLst>
        </c:ser>
        <c:ser>
          <c:idx val="5"/>
          <c:order val="5"/>
          <c:tx>
            <c:strRef>
              <c:f>Dashboard!$B$133</c:f>
              <c:strCache>
                <c:ptCount val="1"/>
                <c:pt idx="0">
                  <c:v>Maintenance</c:v>
                </c:pt>
              </c:strCache>
            </c:strRef>
          </c:tx>
          <c:spPr>
            <a:solidFill>
              <a:schemeClr val="accent6"/>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Dashboard!$C$133:$AF$133</c:f>
              <c:numCache>
                <c:formatCode>General</c:formatCode>
                <c:ptCount val="30"/>
                <c:pt idx="0">
                  <c:v>0.37386016641010023</c:v>
                </c:pt>
                <c:pt idx="1">
                  <c:v>0.37386016641010023</c:v>
                </c:pt>
                <c:pt idx="2">
                  <c:v>0.37386016641010023</c:v>
                </c:pt>
                <c:pt idx="3">
                  <c:v>0.37386016641010023</c:v>
                </c:pt>
                <c:pt idx="4">
                  <c:v>0.37386016641010023</c:v>
                </c:pt>
                <c:pt idx="5">
                  <c:v>0.37386016641010023</c:v>
                </c:pt>
                <c:pt idx="6">
                  <c:v>0.37386016641010023</c:v>
                </c:pt>
                <c:pt idx="7">
                  <c:v>0.39649580317329491</c:v>
                </c:pt>
                <c:pt idx="8">
                  <c:v>0.41183475477891629</c:v>
                </c:pt>
                <c:pt idx="9">
                  <c:v>0.41183475477891629</c:v>
                </c:pt>
                <c:pt idx="10">
                  <c:v>0.41183475477891629</c:v>
                </c:pt>
                <c:pt idx="11">
                  <c:v>0.41183475477891629</c:v>
                </c:pt>
                <c:pt idx="12">
                  <c:v>0.41183475477891629</c:v>
                </c:pt>
                <c:pt idx="13">
                  <c:v>0.41183475477891629</c:v>
                </c:pt>
                <c:pt idx="14">
                  <c:v>0.42094503185575965</c:v>
                </c:pt>
                <c:pt idx="15">
                  <c:v>0.44854462159240305</c:v>
                </c:pt>
                <c:pt idx="16">
                  <c:v>0.44854462159240305</c:v>
                </c:pt>
                <c:pt idx="17">
                  <c:v>0.44854462159240305</c:v>
                </c:pt>
                <c:pt idx="18">
                  <c:v>0.44854462159240305</c:v>
                </c:pt>
                <c:pt idx="19">
                  <c:v>0.44854462159240305</c:v>
                </c:pt>
                <c:pt idx="20">
                  <c:v>0.44854462159240305</c:v>
                </c:pt>
                <c:pt idx="21">
                  <c:v>0.45902751423251303</c:v>
                </c:pt>
                <c:pt idx="22">
                  <c:v>0.56175255202180152</c:v>
                </c:pt>
                <c:pt idx="23">
                  <c:v>0.56175255202180152</c:v>
                </c:pt>
                <c:pt idx="24">
                  <c:v>0.56175255202180152</c:v>
                </c:pt>
                <c:pt idx="25">
                  <c:v>0.56175255202180152</c:v>
                </c:pt>
                <c:pt idx="26">
                  <c:v>0.56175255202180152</c:v>
                </c:pt>
                <c:pt idx="27">
                  <c:v>0.56175255202180152</c:v>
                </c:pt>
                <c:pt idx="28">
                  <c:v>0.58508620331698646</c:v>
                </c:pt>
                <c:pt idx="29">
                  <c:v>0.65697175792112017</c:v>
                </c:pt>
              </c:numCache>
            </c:numRef>
          </c:val>
          <c:extLst>
            <c:ext xmlns:c16="http://schemas.microsoft.com/office/drawing/2014/chart" uri="{C3380CC4-5D6E-409C-BE32-E72D297353CC}">
              <c16:uniqueId val="{00000005-97CA-4438-81D9-32FB4BE17B1D}"/>
            </c:ext>
          </c:extLst>
        </c:ser>
        <c:ser>
          <c:idx val="6"/>
          <c:order val="6"/>
          <c:tx>
            <c:strRef>
              <c:f>Dashboard!$B$134</c:f>
              <c:strCache>
                <c:ptCount val="1"/>
                <c:pt idx="0">
                  <c:v>Repair</c:v>
                </c:pt>
              </c:strCache>
            </c:strRef>
          </c:tx>
          <c:spPr>
            <a:solidFill>
              <a:schemeClr val="accent1">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Dashboard!$C$134:$AF$134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97CA-4438-81D9-32FB4BE17B1D}"/>
            </c:ext>
          </c:extLst>
        </c:ser>
        <c:ser>
          <c:idx val="7"/>
          <c:order val="7"/>
          <c:tx>
            <c:strRef>
              <c:f>Dashboard!$B$135</c:f>
              <c:strCache>
                <c:ptCount val="1"/>
                <c:pt idx="0">
                  <c:v>Operational</c:v>
                </c:pt>
              </c:strCache>
            </c:strRef>
          </c:tx>
          <c:spPr>
            <a:solidFill>
              <a:schemeClr val="accent2">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Dashboard!$C$135:$AF$135</c:f>
              <c:numCache>
                <c:formatCode>General</c:formatCode>
                <c:ptCount val="30"/>
                <c:pt idx="0">
                  <c:v>2.5731029939009945E-2</c:v>
                </c:pt>
                <c:pt idx="1">
                  <c:v>2.5731029939009945E-2</c:v>
                </c:pt>
                <c:pt idx="2">
                  <c:v>2.5731029939009945E-2</c:v>
                </c:pt>
                <c:pt idx="3">
                  <c:v>2.5731029939009945E-2</c:v>
                </c:pt>
                <c:pt idx="4">
                  <c:v>2.5731029939009945E-2</c:v>
                </c:pt>
                <c:pt idx="5">
                  <c:v>2.5731029939009945E-2</c:v>
                </c:pt>
                <c:pt idx="6">
                  <c:v>2.5731029939009945E-2</c:v>
                </c:pt>
                <c:pt idx="7">
                  <c:v>2.5731029939009942E-2</c:v>
                </c:pt>
                <c:pt idx="8">
                  <c:v>2.5731029939009938E-2</c:v>
                </c:pt>
                <c:pt idx="9">
                  <c:v>2.5731029939009938E-2</c:v>
                </c:pt>
                <c:pt idx="10">
                  <c:v>2.5731029939009938E-2</c:v>
                </c:pt>
                <c:pt idx="11">
                  <c:v>2.5731029939009938E-2</c:v>
                </c:pt>
                <c:pt idx="12">
                  <c:v>2.5731029939009938E-2</c:v>
                </c:pt>
                <c:pt idx="13">
                  <c:v>2.5731029939009938E-2</c:v>
                </c:pt>
                <c:pt idx="14">
                  <c:v>2.5731029939009942E-2</c:v>
                </c:pt>
                <c:pt idx="15">
                  <c:v>2.5731029939009942E-2</c:v>
                </c:pt>
                <c:pt idx="16">
                  <c:v>2.5731029939009942E-2</c:v>
                </c:pt>
                <c:pt idx="17">
                  <c:v>2.5731029939009942E-2</c:v>
                </c:pt>
                <c:pt idx="18">
                  <c:v>2.5731029939009942E-2</c:v>
                </c:pt>
                <c:pt idx="19">
                  <c:v>2.5731029939009942E-2</c:v>
                </c:pt>
                <c:pt idx="20">
                  <c:v>2.5731029939009942E-2</c:v>
                </c:pt>
                <c:pt idx="21">
                  <c:v>2.5731029939009942E-2</c:v>
                </c:pt>
                <c:pt idx="22">
                  <c:v>2.5731029939009942E-2</c:v>
                </c:pt>
                <c:pt idx="23">
                  <c:v>2.5731029939009942E-2</c:v>
                </c:pt>
                <c:pt idx="24">
                  <c:v>2.5731029939009942E-2</c:v>
                </c:pt>
                <c:pt idx="25">
                  <c:v>2.5731029939009942E-2</c:v>
                </c:pt>
                <c:pt idx="26">
                  <c:v>2.5731029939009942E-2</c:v>
                </c:pt>
                <c:pt idx="27">
                  <c:v>2.5731029939009942E-2</c:v>
                </c:pt>
                <c:pt idx="28">
                  <c:v>2.5731029939009942E-2</c:v>
                </c:pt>
                <c:pt idx="29">
                  <c:v>2.5731029939009942E-2</c:v>
                </c:pt>
              </c:numCache>
            </c:numRef>
          </c:val>
          <c:extLst>
            <c:ext xmlns:c16="http://schemas.microsoft.com/office/drawing/2014/chart" uri="{C3380CC4-5D6E-409C-BE32-E72D297353CC}">
              <c16:uniqueId val="{00000007-97CA-4438-81D9-32FB4BE17B1D}"/>
            </c:ext>
          </c:extLst>
        </c:ser>
        <c:ser>
          <c:idx val="9"/>
          <c:order val="8"/>
          <c:tx>
            <c:strRef>
              <c:f>Dashboard!$B$136</c:f>
              <c:strCache>
                <c:ptCount val="1"/>
                <c:pt idx="0">
                  <c:v>Labor</c:v>
                </c:pt>
              </c:strCache>
            </c:strRef>
          </c:tx>
          <c:spPr>
            <a:solidFill>
              <a:schemeClr val="accent4">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Dashboard!$C$136:$AF$136</c:f>
              <c:numCache>
                <c:formatCode>General</c:formatCode>
                <c:ptCount val="30"/>
                <c:pt idx="0">
                  <c:v>2.002081774229167</c:v>
                </c:pt>
                <c:pt idx="1">
                  <c:v>2.002081774229167</c:v>
                </c:pt>
                <c:pt idx="2">
                  <c:v>2.002081774229167</c:v>
                </c:pt>
                <c:pt idx="3">
                  <c:v>2.002081774229167</c:v>
                </c:pt>
                <c:pt idx="4">
                  <c:v>2.002081774229167</c:v>
                </c:pt>
                <c:pt idx="5">
                  <c:v>2.002081774229167</c:v>
                </c:pt>
                <c:pt idx="6">
                  <c:v>2.002081774229167</c:v>
                </c:pt>
                <c:pt idx="7">
                  <c:v>2.0020817742291666</c:v>
                </c:pt>
                <c:pt idx="8">
                  <c:v>2.0020817742291666</c:v>
                </c:pt>
                <c:pt idx="9">
                  <c:v>2.0020817742291666</c:v>
                </c:pt>
                <c:pt idx="10">
                  <c:v>2.0020817742291666</c:v>
                </c:pt>
                <c:pt idx="11">
                  <c:v>2.0020817742291666</c:v>
                </c:pt>
                <c:pt idx="12">
                  <c:v>2.0020817742291666</c:v>
                </c:pt>
                <c:pt idx="13">
                  <c:v>2.0020817742291666</c:v>
                </c:pt>
                <c:pt idx="14">
                  <c:v>2.0020817742291666</c:v>
                </c:pt>
                <c:pt idx="15">
                  <c:v>2.002081774229167</c:v>
                </c:pt>
                <c:pt idx="16">
                  <c:v>2.002081774229167</c:v>
                </c:pt>
                <c:pt idx="17">
                  <c:v>2.002081774229167</c:v>
                </c:pt>
                <c:pt idx="18">
                  <c:v>2.002081774229167</c:v>
                </c:pt>
                <c:pt idx="19">
                  <c:v>2.002081774229167</c:v>
                </c:pt>
                <c:pt idx="20">
                  <c:v>2.002081774229167</c:v>
                </c:pt>
                <c:pt idx="21">
                  <c:v>2.002081774229167</c:v>
                </c:pt>
                <c:pt idx="22">
                  <c:v>2.0020817742291666</c:v>
                </c:pt>
                <c:pt idx="23">
                  <c:v>2.0020817742291666</c:v>
                </c:pt>
                <c:pt idx="24">
                  <c:v>2.0020817742291666</c:v>
                </c:pt>
                <c:pt idx="25">
                  <c:v>2.0020817742291666</c:v>
                </c:pt>
                <c:pt idx="26">
                  <c:v>2.0020817742291666</c:v>
                </c:pt>
                <c:pt idx="27">
                  <c:v>2.0020817742291666</c:v>
                </c:pt>
                <c:pt idx="28">
                  <c:v>2.0020817742291666</c:v>
                </c:pt>
                <c:pt idx="29">
                  <c:v>2.0020817742291666</c:v>
                </c:pt>
              </c:numCache>
            </c:numRef>
          </c:val>
          <c:extLst>
            <c:ext xmlns:c16="http://schemas.microsoft.com/office/drawing/2014/chart" uri="{C3380CC4-5D6E-409C-BE32-E72D297353CC}">
              <c16:uniqueId val="{00000009-97CA-4438-81D9-32FB4BE17B1D}"/>
            </c:ext>
          </c:extLst>
        </c:ser>
        <c:dLbls>
          <c:showLegendKey val="0"/>
          <c:showVal val="0"/>
          <c:showCatName val="0"/>
          <c:showSerName val="0"/>
          <c:showPercent val="0"/>
          <c:showBubbleSize val="0"/>
        </c:dLbls>
        <c:gapWidth val="0"/>
        <c:overlap val="100"/>
        <c:axId val="719907416"/>
        <c:axId val="719909056"/>
      </c:barChart>
      <c:catAx>
        <c:axId val="719907416"/>
        <c:scaling>
          <c:orientation val="minMax"/>
        </c:scaling>
        <c:delete val="0"/>
        <c:axPos val="b"/>
        <c:numFmt formatCode="#,&quot;k&quot;;;0"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Dashboard!$N$29</c:f>
          <c:strCache>
            <c:ptCount val="1"/>
            <c:pt idx="0">
              <c:v>Total Cost of Ownership, BEV, Class 8 Bus, MY2020</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Dashboard!$N$3</c:f>
              <c:strCache>
                <c:ptCount val="1"/>
                <c:pt idx="0">
                  <c:v>Vehicle</c:v>
                </c:pt>
              </c:strCache>
            </c:strRef>
          </c:tx>
          <c:spPr>
            <a:solidFill>
              <a:schemeClr val="accent1"/>
            </a:solidFill>
            <a:ln>
              <a:noFill/>
            </a:ln>
            <a:effectLst/>
          </c:spPr>
          <c:invertIfNegative val="0"/>
          <c:cat>
            <c:strRef>
              <c:f>Dashboard!$O$2</c:f>
              <c:strCache>
                <c:ptCount val="1"/>
                <c:pt idx="0">
                  <c:v>BEV</c:v>
                </c:pt>
              </c:strCache>
            </c:strRef>
          </c:cat>
          <c:val>
            <c:numRef>
              <c:f>Dashboard!$O$3</c:f>
              <c:numCache>
                <c:formatCode>"$"#,##0</c:formatCode>
                <c:ptCount val="1"/>
                <c:pt idx="0">
                  <c:v>358472.63679710939</c:v>
                </c:pt>
              </c:numCache>
            </c:numRef>
          </c:val>
          <c:extLst>
            <c:ext xmlns:c16="http://schemas.microsoft.com/office/drawing/2014/chart" uri="{C3380CC4-5D6E-409C-BE32-E72D297353CC}">
              <c16:uniqueId val="{00000000-9DC8-4830-9194-0DBA666385AB}"/>
            </c:ext>
          </c:extLst>
        </c:ser>
        <c:ser>
          <c:idx val="1"/>
          <c:order val="1"/>
          <c:tx>
            <c:strRef>
              <c:f>Dashboard!$N$4</c:f>
              <c:strCache>
                <c:ptCount val="1"/>
                <c:pt idx="0">
                  <c:v>Financing</c:v>
                </c:pt>
              </c:strCache>
            </c:strRef>
          </c:tx>
          <c:spPr>
            <a:solidFill>
              <a:schemeClr val="accent2"/>
            </a:solidFill>
            <a:ln>
              <a:noFill/>
            </a:ln>
            <a:effectLst/>
          </c:spPr>
          <c:invertIfNegative val="0"/>
          <c:cat>
            <c:strRef>
              <c:f>Dashboard!$O$2</c:f>
              <c:strCache>
                <c:ptCount val="1"/>
                <c:pt idx="0">
                  <c:v>BEV</c:v>
                </c:pt>
              </c:strCache>
            </c:strRef>
          </c:cat>
          <c:val>
            <c:numRef>
              <c:f>Dashboard!$O$4</c:f>
              <c:numCache>
                <c:formatCode>"$"#,##0</c:formatCode>
                <c:ptCount val="1"/>
                <c:pt idx="0">
                  <c:v>44423.644118193981</c:v>
                </c:pt>
              </c:numCache>
            </c:numRef>
          </c:val>
          <c:extLst>
            <c:ext xmlns:c16="http://schemas.microsoft.com/office/drawing/2014/chart" uri="{C3380CC4-5D6E-409C-BE32-E72D297353CC}">
              <c16:uniqueId val="{00000001-9DC8-4830-9194-0DBA666385AB}"/>
            </c:ext>
          </c:extLst>
        </c:ser>
        <c:ser>
          <c:idx val="2"/>
          <c:order val="2"/>
          <c:tx>
            <c:strRef>
              <c:f>Dashboard!$N$5</c:f>
              <c:strCache>
                <c:ptCount val="1"/>
                <c:pt idx="0">
                  <c:v>Fuel</c:v>
                </c:pt>
              </c:strCache>
            </c:strRef>
          </c:tx>
          <c:spPr>
            <a:solidFill>
              <a:schemeClr val="accent3"/>
            </a:solidFill>
            <a:ln>
              <a:noFill/>
            </a:ln>
            <a:effectLst/>
          </c:spPr>
          <c:invertIfNegative val="0"/>
          <c:cat>
            <c:strRef>
              <c:f>Dashboard!$O$2</c:f>
              <c:strCache>
                <c:ptCount val="1"/>
                <c:pt idx="0">
                  <c:v>BEV</c:v>
                </c:pt>
              </c:strCache>
            </c:strRef>
          </c:cat>
          <c:val>
            <c:numRef>
              <c:f>Dashboard!$O$5</c:f>
              <c:numCache>
                <c:formatCode>"$"#,##0</c:formatCode>
                <c:ptCount val="1"/>
                <c:pt idx="0">
                  <c:v>74993.598553214921</c:v>
                </c:pt>
              </c:numCache>
            </c:numRef>
          </c:val>
          <c:extLst>
            <c:ext xmlns:c16="http://schemas.microsoft.com/office/drawing/2014/chart" uri="{C3380CC4-5D6E-409C-BE32-E72D297353CC}">
              <c16:uniqueId val="{00000002-9DC8-4830-9194-0DBA666385AB}"/>
            </c:ext>
          </c:extLst>
        </c:ser>
        <c:ser>
          <c:idx val="3"/>
          <c:order val="3"/>
          <c:tx>
            <c:strRef>
              <c:f>Dashboard!$N$6</c:f>
              <c:strCache>
                <c:ptCount val="1"/>
                <c:pt idx="0">
                  <c:v>Insurance</c:v>
                </c:pt>
              </c:strCache>
            </c:strRef>
          </c:tx>
          <c:spPr>
            <a:solidFill>
              <a:schemeClr val="accent4"/>
            </a:solidFill>
            <a:ln>
              <a:noFill/>
            </a:ln>
            <a:effectLst/>
          </c:spPr>
          <c:invertIfNegative val="0"/>
          <c:cat>
            <c:strRef>
              <c:f>Dashboard!$O$2</c:f>
              <c:strCache>
                <c:ptCount val="1"/>
                <c:pt idx="0">
                  <c:v>BEV</c:v>
                </c:pt>
              </c:strCache>
            </c:strRef>
          </c:cat>
          <c:val>
            <c:numRef>
              <c:f>Dashboard!$O$6</c:f>
              <c:numCache>
                <c:formatCode>"$"#,##0</c:formatCode>
                <c:ptCount val="1"/>
                <c:pt idx="0">
                  <c:v>283773.75864754181</c:v>
                </c:pt>
              </c:numCache>
            </c:numRef>
          </c:val>
          <c:extLst>
            <c:ext xmlns:c16="http://schemas.microsoft.com/office/drawing/2014/chart" uri="{C3380CC4-5D6E-409C-BE32-E72D297353CC}">
              <c16:uniqueId val="{00000003-9DC8-4830-9194-0DBA666385AB}"/>
            </c:ext>
          </c:extLst>
        </c:ser>
        <c:ser>
          <c:idx val="4"/>
          <c:order val="4"/>
          <c:tx>
            <c:strRef>
              <c:f>Dashboard!$N$7</c:f>
              <c:strCache>
                <c:ptCount val="1"/>
                <c:pt idx="0">
                  <c:v>Taxes &amp; fees</c:v>
                </c:pt>
              </c:strCache>
            </c:strRef>
          </c:tx>
          <c:spPr>
            <a:solidFill>
              <a:schemeClr val="accent5"/>
            </a:solidFill>
            <a:ln>
              <a:noFill/>
            </a:ln>
            <a:effectLst/>
          </c:spPr>
          <c:invertIfNegative val="0"/>
          <c:cat>
            <c:strRef>
              <c:f>Dashboard!$O$2</c:f>
              <c:strCache>
                <c:ptCount val="1"/>
                <c:pt idx="0">
                  <c:v>BEV</c:v>
                </c:pt>
              </c:strCache>
            </c:strRef>
          </c:cat>
          <c:val>
            <c:numRef>
              <c:f>Dashboard!$O$7</c:f>
              <c:numCache>
                <c:formatCode>"$"#,##0</c:formatCode>
                <c:ptCount val="1"/>
                <c:pt idx="0">
                  <c:v>105937.32620614902</c:v>
                </c:pt>
              </c:numCache>
            </c:numRef>
          </c:val>
          <c:extLst>
            <c:ext xmlns:c16="http://schemas.microsoft.com/office/drawing/2014/chart" uri="{C3380CC4-5D6E-409C-BE32-E72D297353CC}">
              <c16:uniqueId val="{00000004-9DC8-4830-9194-0DBA666385AB}"/>
            </c:ext>
          </c:extLst>
        </c:ser>
        <c:ser>
          <c:idx val="5"/>
          <c:order val="5"/>
          <c:tx>
            <c:strRef>
              <c:f>Dashboard!$N$8</c:f>
              <c:strCache>
                <c:ptCount val="1"/>
                <c:pt idx="0">
                  <c:v>Maintenance</c:v>
                </c:pt>
              </c:strCache>
            </c:strRef>
          </c:tx>
          <c:spPr>
            <a:solidFill>
              <a:schemeClr val="accent6"/>
            </a:solidFill>
            <a:ln>
              <a:noFill/>
            </a:ln>
            <a:effectLst/>
          </c:spPr>
          <c:invertIfNegative val="0"/>
          <c:cat>
            <c:strRef>
              <c:f>Dashboard!$O$2</c:f>
              <c:strCache>
                <c:ptCount val="1"/>
                <c:pt idx="0">
                  <c:v>BEV</c:v>
                </c:pt>
              </c:strCache>
            </c:strRef>
          </c:cat>
          <c:val>
            <c:numRef>
              <c:f>Dashboard!$O$8</c:f>
              <c:numCache>
                <c:formatCode>"$"#,##0</c:formatCode>
                <c:ptCount val="1"/>
                <c:pt idx="0">
                  <c:v>296930.70698738238</c:v>
                </c:pt>
              </c:numCache>
            </c:numRef>
          </c:val>
          <c:extLst>
            <c:ext xmlns:c16="http://schemas.microsoft.com/office/drawing/2014/chart" uri="{C3380CC4-5D6E-409C-BE32-E72D297353CC}">
              <c16:uniqueId val="{00000005-9DC8-4830-9194-0DBA666385AB}"/>
            </c:ext>
          </c:extLst>
        </c:ser>
        <c:ser>
          <c:idx val="6"/>
          <c:order val="6"/>
          <c:tx>
            <c:strRef>
              <c:f>Dashboard!$N$9</c:f>
              <c:strCache>
                <c:ptCount val="1"/>
                <c:pt idx="0">
                  <c:v>Repair</c:v>
                </c:pt>
              </c:strCache>
            </c:strRef>
          </c:tx>
          <c:spPr>
            <a:solidFill>
              <a:schemeClr val="accent1">
                <a:lumMod val="60000"/>
              </a:schemeClr>
            </a:solidFill>
            <a:ln>
              <a:noFill/>
            </a:ln>
            <a:effectLst/>
          </c:spPr>
          <c:invertIfNegative val="0"/>
          <c:cat>
            <c:strRef>
              <c:f>Dashboard!$O$2</c:f>
              <c:strCache>
                <c:ptCount val="1"/>
                <c:pt idx="0">
                  <c:v>BEV</c:v>
                </c:pt>
              </c:strCache>
            </c:strRef>
          </c:cat>
          <c:val>
            <c:numRef>
              <c:f>Dashboard!$O$9</c:f>
              <c:numCache>
                <c:formatCode>"$"#,##0</c:formatCode>
                <c:ptCount val="1"/>
                <c:pt idx="0">
                  <c:v>0</c:v>
                </c:pt>
              </c:numCache>
            </c:numRef>
          </c:val>
          <c:extLst>
            <c:ext xmlns:c16="http://schemas.microsoft.com/office/drawing/2014/chart" uri="{C3380CC4-5D6E-409C-BE32-E72D297353CC}">
              <c16:uniqueId val="{00000006-9DC8-4830-9194-0DBA666385AB}"/>
            </c:ext>
          </c:extLst>
        </c:ser>
        <c:ser>
          <c:idx val="7"/>
          <c:order val="7"/>
          <c:tx>
            <c:strRef>
              <c:f>Dashboard!$N$10</c:f>
              <c:strCache>
                <c:ptCount val="1"/>
                <c:pt idx="0">
                  <c:v>Operational</c:v>
                </c:pt>
              </c:strCache>
            </c:strRef>
          </c:tx>
          <c:spPr>
            <a:solidFill>
              <a:schemeClr val="accent2">
                <a:lumMod val="60000"/>
              </a:schemeClr>
            </a:solidFill>
            <a:ln>
              <a:noFill/>
            </a:ln>
            <a:effectLst/>
          </c:spPr>
          <c:invertIfNegative val="0"/>
          <c:cat>
            <c:strRef>
              <c:f>Dashboard!$O$2</c:f>
              <c:strCache>
                <c:ptCount val="1"/>
                <c:pt idx="0">
                  <c:v>BEV</c:v>
                </c:pt>
              </c:strCache>
            </c:strRef>
          </c:cat>
          <c:val>
            <c:numRef>
              <c:f>Dashboard!$O$10</c:f>
              <c:numCache>
                <c:formatCode>"$"#,##0</c:formatCode>
                <c:ptCount val="1"/>
                <c:pt idx="0">
                  <c:v>12353.242129211727</c:v>
                </c:pt>
              </c:numCache>
            </c:numRef>
          </c:val>
          <c:extLst>
            <c:ext xmlns:c16="http://schemas.microsoft.com/office/drawing/2014/chart" uri="{C3380CC4-5D6E-409C-BE32-E72D297353CC}">
              <c16:uniqueId val="{00000007-9DC8-4830-9194-0DBA666385AB}"/>
            </c:ext>
          </c:extLst>
        </c:ser>
        <c:ser>
          <c:idx val="9"/>
          <c:order val="8"/>
          <c:tx>
            <c:strRef>
              <c:f>Dashboard!$N$11</c:f>
              <c:strCache>
                <c:ptCount val="1"/>
                <c:pt idx="0">
                  <c:v>Labor</c:v>
                </c:pt>
              </c:strCache>
            </c:strRef>
          </c:tx>
          <c:spPr>
            <a:solidFill>
              <a:schemeClr val="accent4">
                <a:lumMod val="60000"/>
              </a:schemeClr>
            </a:solidFill>
            <a:ln>
              <a:noFill/>
            </a:ln>
            <a:effectLst/>
          </c:spPr>
          <c:invertIfNegative val="0"/>
          <c:cat>
            <c:strRef>
              <c:f>Dashboard!$O$2</c:f>
              <c:strCache>
                <c:ptCount val="1"/>
                <c:pt idx="0">
                  <c:v>BEV</c:v>
                </c:pt>
              </c:strCache>
            </c:strRef>
          </c:cat>
          <c:val>
            <c:numRef>
              <c:f>Dashboard!$O$11</c:f>
              <c:numCache>
                <c:formatCode>"$"#,##0</c:formatCode>
                <c:ptCount val="1"/>
                <c:pt idx="0">
                  <c:v>961181.92618629115</c:v>
                </c:pt>
              </c:numCache>
            </c:numRef>
          </c:val>
          <c:extLst>
            <c:ext xmlns:c16="http://schemas.microsoft.com/office/drawing/2014/chart" uri="{C3380CC4-5D6E-409C-BE32-E72D297353CC}">
              <c16:uniqueId val="{00000009-9DC8-4830-9194-0DBA666385AB}"/>
            </c:ext>
          </c:extLst>
        </c:ser>
        <c:dLbls>
          <c:showLegendKey val="0"/>
          <c:showVal val="0"/>
          <c:showCatName val="0"/>
          <c:showSerName val="0"/>
          <c:showPercent val="0"/>
          <c:showBubbleSize val="0"/>
        </c:dLbls>
        <c:gapWidth val="150"/>
        <c:overlap val="100"/>
        <c:axId val="719907416"/>
        <c:axId val="719909056"/>
      </c:barChart>
      <c:catAx>
        <c:axId val="719907416"/>
        <c:scaling>
          <c:orientation val="minMax"/>
        </c:scaling>
        <c:delete val="1"/>
        <c:axPos val="b"/>
        <c:numFmt formatCode="General" sourceLinked="1"/>
        <c:majorTickMark val="none"/>
        <c:minorTickMark val="none"/>
        <c:tickLblPos val="nextTo"/>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Dashboard!$N$27</c:f>
          <c:strCache>
            <c:ptCount val="1"/>
            <c:pt idx="0">
              <c:v>Annual Cost of Ownership,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Dashboard!$B$57</c:f>
              <c:strCache>
                <c:ptCount val="1"/>
                <c:pt idx="0">
                  <c:v>Vehicle</c:v>
                </c:pt>
              </c:strCache>
            </c:strRef>
          </c:tx>
          <c:spPr>
            <a:solidFill>
              <a:schemeClr val="accent1"/>
            </a:solidFill>
            <a:ln>
              <a:noFill/>
            </a:ln>
            <a:effectLst/>
          </c:spPr>
          <c:invertIfNegative val="0"/>
          <c:val>
            <c:numRef>
              <c:f>Dashboard!$C$57:$AF$57</c:f>
              <c:numCache>
                <c:formatCode>"$"#,##0</c:formatCode>
                <c:ptCount val="30"/>
                <c:pt idx="0">
                  <c:v>53522.05892201457</c:v>
                </c:pt>
                <c:pt idx="1">
                  <c:v>48865.901573504307</c:v>
                </c:pt>
                <c:pt idx="2">
                  <c:v>44538.97422778848</c:v>
                </c:pt>
                <c:pt idx="3">
                  <c:v>40543.257764170667</c:v>
                </c:pt>
                <c:pt idx="4">
                  <c:v>36727.105718893326</c:v>
                </c:pt>
                <c:pt idx="5">
                  <c:v>33327.900054978847</c:v>
                </c:pt>
                <c:pt idx="6">
                  <c:v>30290.82744247984</c:v>
                </c:pt>
                <c:pt idx="7">
                  <c:v>27569.65022033513</c:v>
                </c:pt>
                <c:pt idx="8">
                  <c:v>25125.173634911091</c:v>
                </c:pt>
                <c:pt idx="9">
                  <c:v>22924.014843756057</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4489-4C41-89BA-2F6B85C5BA85}"/>
            </c:ext>
          </c:extLst>
        </c:ser>
        <c:ser>
          <c:idx val="1"/>
          <c:order val="1"/>
          <c:tx>
            <c:strRef>
              <c:f>Dashboard!$B$58</c:f>
              <c:strCache>
                <c:ptCount val="1"/>
                <c:pt idx="0">
                  <c:v>Financing</c:v>
                </c:pt>
              </c:strCache>
            </c:strRef>
          </c:tx>
          <c:spPr>
            <a:solidFill>
              <a:schemeClr val="accent2"/>
            </a:solidFill>
            <a:ln>
              <a:noFill/>
            </a:ln>
            <a:effectLst/>
          </c:spPr>
          <c:invertIfNegative val="0"/>
          <c:val>
            <c:numRef>
              <c:f>Dashboard!$C$58:$AF$58</c:f>
              <c:numCache>
                <c:formatCode>"$"#,##0</c:formatCode>
                <c:ptCount val="30"/>
                <c:pt idx="0">
                  <c:v>15786.090933882107</c:v>
                </c:pt>
                <c:pt idx="1">
                  <c:v>12735.107525265281</c:v>
                </c:pt>
                <c:pt idx="2">
                  <c:v>9559.8223451587401</c:v>
                </c:pt>
                <c:pt idx="3">
                  <c:v>6255.1711476042983</c:v>
                </c:pt>
                <c:pt idx="4">
                  <c:v>2815.8833614497707</c:v>
                </c:pt>
                <c:pt idx="5">
                  <c:v>150.28527079805281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4489-4C41-89BA-2F6B85C5BA85}"/>
            </c:ext>
          </c:extLst>
        </c:ser>
        <c:ser>
          <c:idx val="2"/>
          <c:order val="2"/>
          <c:tx>
            <c:strRef>
              <c:f>Dashboard!$B$59</c:f>
              <c:strCache>
                <c:ptCount val="1"/>
                <c:pt idx="0">
                  <c:v>Fuel</c:v>
                </c:pt>
              </c:strCache>
            </c:strRef>
          </c:tx>
          <c:spPr>
            <a:solidFill>
              <a:schemeClr val="accent3"/>
            </a:solidFill>
            <a:ln>
              <a:noFill/>
            </a:ln>
            <a:effectLst/>
          </c:spPr>
          <c:invertIfNegative val="0"/>
          <c:val>
            <c:numRef>
              <c:f>Dashboard!$C$59:$AF$59</c:f>
              <c:numCache>
                <c:formatCode>"$"#,##0</c:formatCode>
                <c:ptCount val="30"/>
                <c:pt idx="0">
                  <c:v>11565.449659918078</c:v>
                </c:pt>
                <c:pt idx="1">
                  <c:v>11477.937535128354</c:v>
                </c:pt>
                <c:pt idx="2">
                  <c:v>11177.500904984699</c:v>
                </c:pt>
                <c:pt idx="3">
                  <c:v>10696.345148099797</c:v>
                </c:pt>
                <c:pt idx="4">
                  <c:v>9594.9925362714985</c:v>
                </c:pt>
                <c:pt idx="5">
                  <c:v>8607.0410496674085</c:v>
                </c:pt>
                <c:pt idx="6">
                  <c:v>7720.8143050257031</c:v>
                </c:pt>
                <c:pt idx="7">
                  <c:v>6925.8381816353731</c:v>
                </c:pt>
                <c:pt idx="8">
                  <c:v>6212.717029986733</c:v>
                </c:pt>
                <c:pt idx="9">
                  <c:v>5573.0226266379796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4489-4C41-89BA-2F6B85C5BA85}"/>
            </c:ext>
          </c:extLst>
        </c:ser>
        <c:ser>
          <c:idx val="3"/>
          <c:order val="3"/>
          <c:tx>
            <c:strRef>
              <c:f>Dashboard!$B$60</c:f>
              <c:strCache>
                <c:ptCount val="1"/>
                <c:pt idx="0">
                  <c:v>Insurance</c:v>
                </c:pt>
              </c:strCache>
            </c:strRef>
          </c:tx>
          <c:spPr>
            <a:solidFill>
              <a:schemeClr val="accent4"/>
            </a:solidFill>
            <a:ln>
              <a:noFill/>
            </a:ln>
            <a:effectLst/>
          </c:spPr>
          <c:invertIfNegative val="0"/>
          <c:val>
            <c:numRef>
              <c:f>Dashboard!$C$60:$AF$60</c:f>
              <c:numCache>
                <c:formatCode>"$"#,##0</c:formatCode>
                <c:ptCount val="30"/>
                <c:pt idx="0">
                  <c:v>35000</c:v>
                </c:pt>
                <c:pt idx="1">
                  <c:v>35000</c:v>
                </c:pt>
                <c:pt idx="2">
                  <c:v>35000</c:v>
                </c:pt>
                <c:pt idx="3">
                  <c:v>35000</c:v>
                </c:pt>
                <c:pt idx="4">
                  <c:v>35000</c:v>
                </c:pt>
                <c:pt idx="5">
                  <c:v>35000</c:v>
                </c:pt>
                <c:pt idx="6">
                  <c:v>35000</c:v>
                </c:pt>
                <c:pt idx="7">
                  <c:v>35000</c:v>
                </c:pt>
                <c:pt idx="8">
                  <c:v>35000</c:v>
                </c:pt>
                <c:pt idx="9">
                  <c:v>35000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4489-4C41-89BA-2F6B85C5BA85}"/>
            </c:ext>
          </c:extLst>
        </c:ser>
        <c:ser>
          <c:idx val="4"/>
          <c:order val="4"/>
          <c:tx>
            <c:strRef>
              <c:f>Dashboard!$B$61</c:f>
              <c:strCache>
                <c:ptCount val="1"/>
                <c:pt idx="0">
                  <c:v>Taxes &amp; fees</c:v>
                </c:pt>
              </c:strCache>
            </c:strRef>
          </c:tx>
          <c:spPr>
            <a:solidFill>
              <a:schemeClr val="accent5"/>
            </a:solidFill>
            <a:ln>
              <a:noFill/>
            </a:ln>
            <a:effectLst/>
          </c:spPr>
          <c:invertIfNegative val="0"/>
          <c:val>
            <c:numRef>
              <c:f>Dashboard!$C$61:$AF$61</c:f>
              <c:numCache>
                <c:formatCode>"$"#,##0</c:formatCode>
                <c:ptCount val="30"/>
                <c:pt idx="0">
                  <c:v>104359.38979415604</c:v>
                </c:pt>
                <c:pt idx="1">
                  <c:v>222</c:v>
                </c:pt>
                <c:pt idx="2">
                  <c:v>222</c:v>
                </c:pt>
                <c:pt idx="3">
                  <c:v>222</c:v>
                </c:pt>
                <c:pt idx="4">
                  <c:v>222</c:v>
                </c:pt>
                <c:pt idx="5">
                  <c:v>222</c:v>
                </c:pt>
                <c:pt idx="6">
                  <c:v>222</c:v>
                </c:pt>
                <c:pt idx="7">
                  <c:v>222</c:v>
                </c:pt>
                <c:pt idx="8">
                  <c:v>222</c:v>
                </c:pt>
                <c:pt idx="9">
                  <c:v>222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4489-4C41-89BA-2F6B85C5BA85}"/>
            </c:ext>
          </c:extLst>
        </c:ser>
        <c:ser>
          <c:idx val="5"/>
          <c:order val="5"/>
          <c:tx>
            <c:strRef>
              <c:f>Dashboard!$B$62</c:f>
              <c:strCache>
                <c:ptCount val="1"/>
                <c:pt idx="0">
                  <c:v>Maintenance</c:v>
                </c:pt>
              </c:strCache>
            </c:strRef>
          </c:tx>
          <c:spPr>
            <a:solidFill>
              <a:schemeClr val="accent6"/>
            </a:solidFill>
            <a:ln>
              <a:noFill/>
            </a:ln>
            <a:effectLst/>
          </c:spPr>
          <c:invertIfNegative val="0"/>
          <c:val>
            <c:numRef>
              <c:f>Dashboard!$C$62:$AF$62</c:f>
              <c:numCache>
                <c:formatCode>"$"#,##0</c:formatCode>
                <c:ptCount val="30"/>
                <c:pt idx="0">
                  <c:v>27680.332823461667</c:v>
                </c:pt>
                <c:pt idx="1">
                  <c:v>30261.220566406901</c:v>
                </c:pt>
                <c:pt idx="2">
                  <c:v>32095.929495202425</c:v>
                </c:pt>
                <c:pt idx="3">
                  <c:v>38466.267943635161</c:v>
                </c:pt>
                <c:pt idx="4">
                  <c:v>40354.403463353505</c:v>
                </c:pt>
                <c:pt idx="5">
                  <c:v>39330.131179694064</c:v>
                </c:pt>
                <c:pt idx="6">
                  <c:v>40176.9998261781</c:v>
                </c:pt>
                <c:pt idx="7">
                  <c:v>40567.150198495016</c:v>
                </c:pt>
                <c:pt idx="8">
                  <c:v>40646.803228155441</c:v>
                </c:pt>
                <c:pt idx="9">
                  <c:v>43051.49632571471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4489-4C41-89BA-2F6B85C5BA85}"/>
            </c:ext>
          </c:extLst>
        </c:ser>
        <c:ser>
          <c:idx val="6"/>
          <c:order val="6"/>
          <c:tx>
            <c:strRef>
              <c:f>Dashboard!$B$63</c:f>
              <c:strCache>
                <c:ptCount val="1"/>
                <c:pt idx="0">
                  <c:v>Repair</c:v>
                </c:pt>
              </c:strCache>
            </c:strRef>
          </c:tx>
          <c:spPr>
            <a:solidFill>
              <a:schemeClr val="accent1">
                <a:lumMod val="60000"/>
              </a:schemeClr>
            </a:solidFill>
            <a:ln>
              <a:noFill/>
            </a:ln>
            <a:effectLst/>
          </c:spPr>
          <c:invertIfNegative val="0"/>
          <c:val>
            <c:numRef>
              <c:f>Dashboard!$C$63:$AF$63</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4489-4C41-89BA-2F6B85C5BA85}"/>
            </c:ext>
          </c:extLst>
        </c:ser>
        <c:ser>
          <c:idx val="7"/>
          <c:order val="7"/>
          <c:tx>
            <c:strRef>
              <c:f>Dashboard!$B$64</c:f>
              <c:strCache>
                <c:ptCount val="1"/>
                <c:pt idx="0">
                  <c:v>Operational</c:v>
                </c:pt>
              </c:strCache>
            </c:strRef>
          </c:tx>
          <c:spPr>
            <a:solidFill>
              <a:schemeClr val="accent2">
                <a:lumMod val="60000"/>
              </a:schemeClr>
            </a:solidFill>
            <a:ln>
              <a:noFill/>
            </a:ln>
            <a:effectLst/>
          </c:spPr>
          <c:invertIfNegative val="0"/>
          <c:val>
            <c:numRef>
              <c:f>Dashboard!$C$64:$AF$64</c:f>
              <c:numCache>
                <c:formatCode>"$"#,##0</c:formatCode>
                <c:ptCount val="30"/>
                <c:pt idx="0">
                  <c:v>1905.1066056097754</c:v>
                </c:pt>
                <c:pt idx="1">
                  <c:v>1890.6912623321466</c:v>
                </c:pt>
                <c:pt idx="2">
                  <c:v>1841.2021524847851</c:v>
                </c:pt>
                <c:pt idx="3">
                  <c:v>1761.9442733946701</c:v>
                </c:pt>
                <c:pt idx="4">
                  <c:v>1580.5251156794886</c:v>
                </c:pt>
                <c:pt idx="5">
                  <c:v>1417.7858397761615</c:v>
                </c:pt>
                <c:pt idx="6">
                  <c:v>1271.8030656574665</c:v>
                </c:pt>
                <c:pt idx="7">
                  <c:v>1140.8514547381121</c:v>
                </c:pt>
                <c:pt idx="8">
                  <c:v>1023.3833184740962</c:v>
                </c:pt>
                <c:pt idx="9">
                  <c:v>918.0103265691755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4489-4C41-89BA-2F6B85C5BA85}"/>
            </c:ext>
          </c:extLst>
        </c:ser>
        <c:ser>
          <c:idx val="9"/>
          <c:order val="8"/>
          <c:tx>
            <c:strRef>
              <c:f>Dashboard!$B$65</c:f>
              <c:strCache>
                <c:ptCount val="1"/>
                <c:pt idx="0">
                  <c:v>Labor</c:v>
                </c:pt>
              </c:strCache>
            </c:strRef>
          </c:tx>
          <c:spPr>
            <a:solidFill>
              <a:schemeClr val="accent4">
                <a:lumMod val="60000"/>
              </a:schemeClr>
            </a:solidFill>
            <a:ln>
              <a:noFill/>
            </a:ln>
            <a:effectLst/>
          </c:spPr>
          <c:invertIfNegative val="0"/>
          <c:val>
            <c:numRef>
              <c:f>Dashboard!$C$65:$AF$65</c:f>
              <c:numCache>
                <c:formatCode>"$"#,##0</c:formatCode>
                <c:ptCount val="30"/>
                <c:pt idx="0">
                  <c:v>148232.66779820487</c:v>
                </c:pt>
                <c:pt idx="1">
                  <c:v>147111.03776187109</c:v>
                </c:pt>
                <c:pt idx="2">
                  <c:v>143260.38564716448</c:v>
                </c:pt>
                <c:pt idx="3">
                  <c:v>137093.48305653757</c:v>
                </c:pt>
                <c:pt idx="4">
                  <c:v>122977.60856498014</c:v>
                </c:pt>
                <c:pt idx="5">
                  <c:v>110315.17962180976</c:v>
                </c:pt>
                <c:pt idx="6">
                  <c:v>98956.541739563429</c:v>
                </c:pt>
                <c:pt idx="7">
                  <c:v>88767.449653120653</c:v>
                </c:pt>
                <c:pt idx="8">
                  <c:v>79627.480704178393</c:v>
                </c:pt>
                <c:pt idx="9">
                  <c:v>71428.611592102883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9-4489-4C41-89BA-2F6B85C5BA85}"/>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Dashboard!$N$30</c:f>
          <c:strCache>
            <c:ptCount val="1"/>
            <c:pt idx="0">
              <c:v>Per-Mile Cost of Ownership, BEV, Class 8 Bus, MY2020</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Dashboard!$N$14</c:f>
              <c:strCache>
                <c:ptCount val="1"/>
                <c:pt idx="0">
                  <c:v>Vehicle</c:v>
                </c:pt>
              </c:strCache>
            </c:strRef>
          </c:tx>
          <c:spPr>
            <a:solidFill>
              <a:schemeClr val="accent1"/>
            </a:solidFill>
            <a:ln>
              <a:noFill/>
            </a:ln>
            <a:effectLst/>
          </c:spPr>
          <c:invertIfNegative val="0"/>
          <c:cat>
            <c:strRef>
              <c:f>Dashboard!$O$13</c:f>
              <c:strCache>
                <c:ptCount val="1"/>
                <c:pt idx="0">
                  <c:v>BEV</c:v>
                </c:pt>
              </c:strCache>
            </c:strRef>
          </c:cat>
          <c:val>
            <c:numRef>
              <c:f>Dashboard!$O$14</c:f>
              <c:numCache>
                <c:formatCode>_("$"* #,##0.0000_);_("$"* \(#,##0.0000\);_("$"* "-"??_);_(@_)</c:formatCode>
                <c:ptCount val="1"/>
                <c:pt idx="0">
                  <c:v>0.74667605906716283</c:v>
                </c:pt>
              </c:numCache>
            </c:numRef>
          </c:val>
          <c:extLst>
            <c:ext xmlns:c16="http://schemas.microsoft.com/office/drawing/2014/chart" uri="{C3380CC4-5D6E-409C-BE32-E72D297353CC}">
              <c16:uniqueId val="{00000000-09DA-4383-A451-959C3F07A918}"/>
            </c:ext>
          </c:extLst>
        </c:ser>
        <c:ser>
          <c:idx val="1"/>
          <c:order val="1"/>
          <c:tx>
            <c:strRef>
              <c:f>Dashboard!$N$15</c:f>
              <c:strCache>
                <c:ptCount val="1"/>
                <c:pt idx="0">
                  <c:v>Financing</c:v>
                </c:pt>
              </c:strCache>
            </c:strRef>
          </c:tx>
          <c:spPr>
            <a:solidFill>
              <a:schemeClr val="accent2"/>
            </a:solidFill>
            <a:ln>
              <a:noFill/>
            </a:ln>
            <a:effectLst/>
          </c:spPr>
          <c:invertIfNegative val="0"/>
          <c:cat>
            <c:strRef>
              <c:f>Dashboard!$O$13</c:f>
              <c:strCache>
                <c:ptCount val="1"/>
                <c:pt idx="0">
                  <c:v>BEV</c:v>
                </c:pt>
              </c:strCache>
            </c:strRef>
          </c:cat>
          <c:val>
            <c:numRef>
              <c:f>Dashboard!$O$15</c:f>
              <c:numCache>
                <c:formatCode>_("$"* #,##0.0000_);_("$"* \(#,##0.0000\);_("$"* "-"??_);_(@_)</c:formatCode>
                <c:ptCount val="1"/>
                <c:pt idx="0">
                  <c:v>9.2531669407026562E-2</c:v>
                </c:pt>
              </c:numCache>
            </c:numRef>
          </c:val>
          <c:extLst>
            <c:ext xmlns:c16="http://schemas.microsoft.com/office/drawing/2014/chart" uri="{C3380CC4-5D6E-409C-BE32-E72D297353CC}">
              <c16:uniqueId val="{00000001-09DA-4383-A451-959C3F07A918}"/>
            </c:ext>
          </c:extLst>
        </c:ser>
        <c:ser>
          <c:idx val="2"/>
          <c:order val="2"/>
          <c:tx>
            <c:strRef>
              <c:f>Dashboard!$N$16</c:f>
              <c:strCache>
                <c:ptCount val="1"/>
                <c:pt idx="0">
                  <c:v>Fuel</c:v>
                </c:pt>
              </c:strCache>
            </c:strRef>
          </c:tx>
          <c:spPr>
            <a:solidFill>
              <a:schemeClr val="accent3"/>
            </a:solidFill>
            <a:ln>
              <a:noFill/>
            </a:ln>
            <a:effectLst/>
          </c:spPr>
          <c:invertIfNegative val="0"/>
          <c:cat>
            <c:strRef>
              <c:f>Dashboard!$O$13</c:f>
              <c:strCache>
                <c:ptCount val="1"/>
                <c:pt idx="0">
                  <c:v>BEV</c:v>
                </c:pt>
              </c:strCache>
            </c:strRef>
          </c:cat>
          <c:val>
            <c:numRef>
              <c:f>Dashboard!$O$16</c:f>
              <c:numCache>
                <c:formatCode>_("$"* #,##0.0000_);_("$"* \(#,##0.0000\);_("$"* "-"??_);_(@_)</c:formatCode>
                <c:ptCount val="1"/>
                <c:pt idx="0">
                  <c:v>0.15620697056069116</c:v>
                </c:pt>
              </c:numCache>
            </c:numRef>
          </c:val>
          <c:extLst>
            <c:ext xmlns:c16="http://schemas.microsoft.com/office/drawing/2014/chart" uri="{C3380CC4-5D6E-409C-BE32-E72D297353CC}">
              <c16:uniqueId val="{00000002-09DA-4383-A451-959C3F07A918}"/>
            </c:ext>
          </c:extLst>
        </c:ser>
        <c:ser>
          <c:idx val="3"/>
          <c:order val="3"/>
          <c:tx>
            <c:strRef>
              <c:f>Dashboard!$N$17</c:f>
              <c:strCache>
                <c:ptCount val="1"/>
                <c:pt idx="0">
                  <c:v>Insurance</c:v>
                </c:pt>
              </c:strCache>
            </c:strRef>
          </c:tx>
          <c:spPr>
            <a:solidFill>
              <a:schemeClr val="accent4"/>
            </a:solidFill>
            <a:ln>
              <a:noFill/>
            </a:ln>
            <a:effectLst/>
          </c:spPr>
          <c:invertIfNegative val="0"/>
          <c:cat>
            <c:strRef>
              <c:f>Dashboard!$O$13</c:f>
              <c:strCache>
                <c:ptCount val="1"/>
                <c:pt idx="0">
                  <c:v>BEV</c:v>
                </c:pt>
              </c:strCache>
            </c:strRef>
          </c:cat>
          <c:val>
            <c:numRef>
              <c:f>Dashboard!$O$17</c:f>
              <c:numCache>
                <c:formatCode>_("$"* #,##0.0000_);_("$"* \(#,##0.0000\);_("$"* "-"??_);_(@_)</c:formatCode>
                <c:ptCount val="1"/>
                <c:pt idx="0">
                  <c:v>0.59108297265531018</c:v>
                </c:pt>
              </c:numCache>
            </c:numRef>
          </c:val>
          <c:extLst>
            <c:ext xmlns:c16="http://schemas.microsoft.com/office/drawing/2014/chart" uri="{C3380CC4-5D6E-409C-BE32-E72D297353CC}">
              <c16:uniqueId val="{00000003-09DA-4383-A451-959C3F07A918}"/>
            </c:ext>
          </c:extLst>
        </c:ser>
        <c:ser>
          <c:idx val="4"/>
          <c:order val="4"/>
          <c:tx>
            <c:strRef>
              <c:f>Dashboard!$N$18</c:f>
              <c:strCache>
                <c:ptCount val="1"/>
                <c:pt idx="0">
                  <c:v>Taxes &amp; fees</c:v>
                </c:pt>
              </c:strCache>
            </c:strRef>
          </c:tx>
          <c:spPr>
            <a:solidFill>
              <a:schemeClr val="accent5"/>
            </a:solidFill>
            <a:ln>
              <a:noFill/>
            </a:ln>
            <a:effectLst/>
          </c:spPr>
          <c:invertIfNegative val="0"/>
          <c:cat>
            <c:strRef>
              <c:f>Dashboard!$O$13</c:f>
              <c:strCache>
                <c:ptCount val="1"/>
                <c:pt idx="0">
                  <c:v>BEV</c:v>
                </c:pt>
              </c:strCache>
            </c:strRef>
          </c:cat>
          <c:val>
            <c:numRef>
              <c:f>Dashboard!$O$18</c:f>
              <c:numCache>
                <c:formatCode>_("$"* #,##0.0000_);_("$"* \(#,##0.0000\);_("$"* "-"??_);_(@_)</c:formatCode>
                <c:ptCount val="1"/>
                <c:pt idx="0">
                  <c:v>0.2206608179259435</c:v>
                </c:pt>
              </c:numCache>
            </c:numRef>
          </c:val>
          <c:extLst>
            <c:ext xmlns:c16="http://schemas.microsoft.com/office/drawing/2014/chart" uri="{C3380CC4-5D6E-409C-BE32-E72D297353CC}">
              <c16:uniqueId val="{00000004-09DA-4383-A451-959C3F07A918}"/>
            </c:ext>
          </c:extLst>
        </c:ser>
        <c:ser>
          <c:idx val="5"/>
          <c:order val="5"/>
          <c:tx>
            <c:strRef>
              <c:f>Dashboard!$N$19</c:f>
              <c:strCache>
                <c:ptCount val="1"/>
                <c:pt idx="0">
                  <c:v>Maintenance</c:v>
                </c:pt>
              </c:strCache>
            </c:strRef>
          </c:tx>
          <c:spPr>
            <a:solidFill>
              <a:schemeClr val="accent6"/>
            </a:solidFill>
            <a:ln>
              <a:noFill/>
            </a:ln>
            <a:effectLst/>
          </c:spPr>
          <c:invertIfNegative val="0"/>
          <c:cat>
            <c:strRef>
              <c:f>Dashboard!$O$13</c:f>
              <c:strCache>
                <c:ptCount val="1"/>
                <c:pt idx="0">
                  <c:v>BEV</c:v>
                </c:pt>
              </c:strCache>
            </c:strRef>
          </c:cat>
          <c:val>
            <c:numRef>
              <c:f>Dashboard!$O$19</c:f>
              <c:numCache>
                <c:formatCode>_("$"* #,##0.0000_);_("$"* \(#,##0.0000\);_("$"* "-"??_);_(@_)</c:formatCode>
                <c:ptCount val="1"/>
                <c:pt idx="0">
                  <c:v>0.61848807231233827</c:v>
                </c:pt>
              </c:numCache>
            </c:numRef>
          </c:val>
          <c:extLst>
            <c:ext xmlns:c16="http://schemas.microsoft.com/office/drawing/2014/chart" uri="{C3380CC4-5D6E-409C-BE32-E72D297353CC}">
              <c16:uniqueId val="{00000005-09DA-4383-A451-959C3F07A918}"/>
            </c:ext>
          </c:extLst>
        </c:ser>
        <c:ser>
          <c:idx val="6"/>
          <c:order val="6"/>
          <c:tx>
            <c:strRef>
              <c:f>Dashboard!$N$20</c:f>
              <c:strCache>
                <c:ptCount val="1"/>
                <c:pt idx="0">
                  <c:v>Repair</c:v>
                </c:pt>
              </c:strCache>
            </c:strRef>
          </c:tx>
          <c:spPr>
            <a:solidFill>
              <a:schemeClr val="accent1">
                <a:lumMod val="60000"/>
              </a:schemeClr>
            </a:solidFill>
            <a:ln>
              <a:noFill/>
            </a:ln>
            <a:effectLst/>
          </c:spPr>
          <c:invertIfNegative val="0"/>
          <c:cat>
            <c:strRef>
              <c:f>Dashboard!$O$13</c:f>
              <c:strCache>
                <c:ptCount val="1"/>
                <c:pt idx="0">
                  <c:v>BEV</c:v>
                </c:pt>
              </c:strCache>
            </c:strRef>
          </c:cat>
          <c:val>
            <c:numRef>
              <c:f>Dashboard!$O$20</c:f>
              <c:numCache>
                <c:formatCode>_("$"* #,##0.0000_);_("$"* \(#,##0.0000\);_("$"* "-"??_);_(@_)</c:formatCode>
                <c:ptCount val="1"/>
                <c:pt idx="0">
                  <c:v>0</c:v>
                </c:pt>
              </c:numCache>
            </c:numRef>
          </c:val>
          <c:extLst>
            <c:ext xmlns:c16="http://schemas.microsoft.com/office/drawing/2014/chart" uri="{C3380CC4-5D6E-409C-BE32-E72D297353CC}">
              <c16:uniqueId val="{00000006-09DA-4383-A451-959C3F07A918}"/>
            </c:ext>
          </c:extLst>
        </c:ser>
        <c:ser>
          <c:idx val="7"/>
          <c:order val="7"/>
          <c:tx>
            <c:strRef>
              <c:f>Dashboard!$N$21</c:f>
              <c:strCache>
                <c:ptCount val="1"/>
                <c:pt idx="0">
                  <c:v>Operational</c:v>
                </c:pt>
              </c:strCache>
            </c:strRef>
          </c:tx>
          <c:spPr>
            <a:solidFill>
              <a:schemeClr val="accent2">
                <a:lumMod val="60000"/>
              </a:schemeClr>
            </a:solidFill>
            <a:ln>
              <a:noFill/>
            </a:ln>
            <a:effectLst/>
          </c:spPr>
          <c:invertIfNegative val="0"/>
          <c:cat>
            <c:strRef>
              <c:f>Dashboard!$O$13</c:f>
              <c:strCache>
                <c:ptCount val="1"/>
                <c:pt idx="0">
                  <c:v>BEV</c:v>
                </c:pt>
              </c:strCache>
            </c:strRef>
          </c:cat>
          <c:val>
            <c:numRef>
              <c:f>Dashboard!$O$21</c:f>
              <c:numCache>
                <c:formatCode>_("$"* #,##0.0000_);_("$"* \(#,##0.0000\);_("$"* "-"??_);_(@_)</c:formatCode>
                <c:ptCount val="1"/>
                <c:pt idx="0">
                  <c:v>2.5731029939009945E-2</c:v>
                </c:pt>
              </c:numCache>
            </c:numRef>
          </c:val>
          <c:extLst>
            <c:ext xmlns:c16="http://schemas.microsoft.com/office/drawing/2014/chart" uri="{C3380CC4-5D6E-409C-BE32-E72D297353CC}">
              <c16:uniqueId val="{00000007-09DA-4383-A451-959C3F07A918}"/>
            </c:ext>
          </c:extLst>
        </c:ser>
        <c:ser>
          <c:idx val="9"/>
          <c:order val="8"/>
          <c:tx>
            <c:strRef>
              <c:f>Dashboard!$N$22</c:f>
              <c:strCache>
                <c:ptCount val="1"/>
                <c:pt idx="0">
                  <c:v>Labor</c:v>
                </c:pt>
              </c:strCache>
            </c:strRef>
          </c:tx>
          <c:spPr>
            <a:solidFill>
              <a:schemeClr val="accent4">
                <a:lumMod val="60000"/>
              </a:schemeClr>
            </a:solidFill>
            <a:ln>
              <a:noFill/>
            </a:ln>
            <a:effectLst/>
          </c:spPr>
          <c:invertIfNegative val="0"/>
          <c:cat>
            <c:strRef>
              <c:f>Dashboard!$O$13</c:f>
              <c:strCache>
                <c:ptCount val="1"/>
                <c:pt idx="0">
                  <c:v>BEV</c:v>
                </c:pt>
              </c:strCache>
            </c:strRef>
          </c:cat>
          <c:val>
            <c:numRef>
              <c:f>Dashboard!$O$22</c:f>
              <c:numCache>
                <c:formatCode>_("$"* #,##0.0000_);_("$"* \(#,##0.0000\);_("$"* "-"??_);_(@_)</c:formatCode>
                <c:ptCount val="1"/>
                <c:pt idx="0">
                  <c:v>2.002081774229167</c:v>
                </c:pt>
              </c:numCache>
            </c:numRef>
          </c:val>
          <c:extLst>
            <c:ext xmlns:c16="http://schemas.microsoft.com/office/drawing/2014/chart" uri="{C3380CC4-5D6E-409C-BE32-E72D297353CC}">
              <c16:uniqueId val="{00000009-09DA-4383-A451-959C3F07A918}"/>
            </c:ext>
          </c:extLst>
        </c:ser>
        <c:dLbls>
          <c:showLegendKey val="0"/>
          <c:showVal val="0"/>
          <c:showCatName val="0"/>
          <c:showSerName val="0"/>
          <c:showPercent val="0"/>
          <c:showBubbleSize val="0"/>
        </c:dLbls>
        <c:gapWidth val="150"/>
        <c:overlap val="100"/>
        <c:axId val="719907416"/>
        <c:axId val="719909056"/>
      </c:barChart>
      <c:catAx>
        <c:axId val="719907416"/>
        <c:scaling>
          <c:orientation val="minMax"/>
        </c:scaling>
        <c:delete val="1"/>
        <c:axPos val="b"/>
        <c:numFmt formatCode="General" sourceLinked="1"/>
        <c:majorTickMark val="none"/>
        <c:minorTickMark val="none"/>
        <c:tickLblPos val="nextTo"/>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Tornado Chart - Lifetime (SAMPLE)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Dashboard!$AC$9</c:f>
              <c:strCache>
                <c:ptCount val="1"/>
                <c:pt idx="0">
                  <c:v>Low Sum</c:v>
                </c:pt>
              </c:strCache>
            </c:strRef>
          </c:tx>
          <c:spPr>
            <a:noFill/>
            <a:ln>
              <a:noFill/>
            </a:ln>
            <a:effectLst/>
          </c:spPr>
          <c:invertIfNegative val="0"/>
          <c:cat>
            <c:strRef>
              <c:f>Dashboard!$Y$10:$Y$17</c:f>
              <c:strCache>
                <c:ptCount val="8"/>
                <c:pt idx="0">
                  <c:v>Variable 1</c:v>
                </c:pt>
                <c:pt idx="1">
                  <c:v>Variable 2</c:v>
                </c:pt>
                <c:pt idx="2">
                  <c:v>Variable 3</c:v>
                </c:pt>
                <c:pt idx="3">
                  <c:v>Variable 4</c:v>
                </c:pt>
                <c:pt idx="4">
                  <c:v>Variable 5</c:v>
                </c:pt>
                <c:pt idx="5">
                  <c:v>Variable 6</c:v>
                </c:pt>
                <c:pt idx="6">
                  <c:v>Variable 7</c:v>
                </c:pt>
                <c:pt idx="7">
                  <c:v>Variable 8</c:v>
                </c:pt>
              </c:strCache>
            </c:strRef>
          </c:cat>
          <c:val>
            <c:numRef>
              <c:f>Dashboard!$AC$10:$AC$17</c:f>
              <c:numCache>
                <c:formatCode>General</c:formatCode>
                <c:ptCount val="8"/>
                <c:pt idx="0">
                  <c:v>442182.01257729752</c:v>
                </c:pt>
                <c:pt idx="1">
                  <c:v>438160.24045875581</c:v>
                </c:pt>
                <c:pt idx="2">
                  <c:v>399601.41464906459</c:v>
                </c:pt>
                <c:pt idx="3">
                  <c:v>383815.42440608121</c:v>
                </c:pt>
                <c:pt idx="4">
                  <c:v>373949.76760170102</c:v>
                </c:pt>
                <c:pt idx="5">
                  <c:v>363201.67223363894</c:v>
                </c:pt>
                <c:pt idx="6">
                  <c:v>353838.53473776806</c:v>
                </c:pt>
                <c:pt idx="7">
                  <c:v>348305.47030334943</c:v>
                </c:pt>
              </c:numCache>
            </c:numRef>
          </c:val>
          <c:extLst>
            <c:ext xmlns:c16="http://schemas.microsoft.com/office/drawing/2014/chart" uri="{C3380CC4-5D6E-409C-BE32-E72D297353CC}">
              <c16:uniqueId val="{00000000-BCC3-42BF-A1A6-0BB168626E6C}"/>
            </c:ext>
          </c:extLst>
        </c:ser>
        <c:ser>
          <c:idx val="1"/>
          <c:order val="1"/>
          <c:tx>
            <c:strRef>
              <c:f>Dashboard!$AD$9</c:f>
              <c:strCache>
                <c:ptCount val="1"/>
                <c:pt idx="0">
                  <c:v>Avg Sum</c:v>
                </c:pt>
              </c:strCache>
            </c:strRef>
          </c:tx>
          <c:spPr>
            <a:solidFill>
              <a:schemeClr val="accent2"/>
            </a:solidFill>
            <a:ln>
              <a:noFill/>
            </a:ln>
            <a:effectLst/>
          </c:spPr>
          <c:invertIfNegative val="0"/>
          <c:cat>
            <c:strRef>
              <c:f>Dashboard!$Y$10:$Y$17</c:f>
              <c:strCache>
                <c:ptCount val="8"/>
                <c:pt idx="0">
                  <c:v>Variable 1</c:v>
                </c:pt>
                <c:pt idx="1">
                  <c:v>Variable 2</c:v>
                </c:pt>
                <c:pt idx="2">
                  <c:v>Variable 3</c:v>
                </c:pt>
                <c:pt idx="3">
                  <c:v>Variable 4</c:v>
                </c:pt>
                <c:pt idx="4">
                  <c:v>Variable 5</c:v>
                </c:pt>
                <c:pt idx="5">
                  <c:v>Variable 6</c:v>
                </c:pt>
                <c:pt idx="6">
                  <c:v>Variable 7</c:v>
                </c:pt>
                <c:pt idx="7">
                  <c:v>Variable 8</c:v>
                </c:pt>
              </c:strCache>
            </c:strRef>
          </c:cat>
          <c:val>
            <c:numRef>
              <c:f>Dashboard!$AD$10:$AD$17</c:f>
              <c:numCache>
                <c:formatCode>General</c:formatCode>
                <c:ptCount val="8"/>
                <c:pt idx="0">
                  <c:v>761.21940815262496</c:v>
                </c:pt>
                <c:pt idx="1">
                  <c:v>4782.9915266943281</c:v>
                </c:pt>
                <c:pt idx="2">
                  <c:v>43341.817336385546</c:v>
                </c:pt>
                <c:pt idx="3">
                  <c:v>59127.807579368935</c:v>
                </c:pt>
                <c:pt idx="4">
                  <c:v>68993.464383749117</c:v>
                </c:pt>
                <c:pt idx="5">
                  <c:v>79741.559751811204</c:v>
                </c:pt>
                <c:pt idx="6">
                  <c:v>89104.697247682081</c:v>
                </c:pt>
                <c:pt idx="7">
                  <c:v>94637.76168210071</c:v>
                </c:pt>
              </c:numCache>
            </c:numRef>
          </c:val>
          <c:extLst>
            <c:ext xmlns:c16="http://schemas.microsoft.com/office/drawing/2014/chart" uri="{C3380CC4-5D6E-409C-BE32-E72D297353CC}">
              <c16:uniqueId val="{00000001-BCC3-42BF-A1A6-0BB168626E6C}"/>
            </c:ext>
          </c:extLst>
        </c:ser>
        <c:ser>
          <c:idx val="2"/>
          <c:order val="2"/>
          <c:tx>
            <c:strRef>
              <c:f>Dashboard!$AE$9</c:f>
              <c:strCache>
                <c:ptCount val="1"/>
                <c:pt idx="0">
                  <c:v>High Sum</c:v>
                </c:pt>
              </c:strCache>
            </c:strRef>
          </c:tx>
          <c:spPr>
            <a:solidFill>
              <a:schemeClr val="accent3"/>
            </a:solidFill>
            <a:ln>
              <a:noFill/>
            </a:ln>
            <a:effectLst/>
          </c:spPr>
          <c:invertIfNegative val="0"/>
          <c:cat>
            <c:strRef>
              <c:f>Dashboard!$Y$10:$Y$17</c:f>
              <c:strCache>
                <c:ptCount val="8"/>
                <c:pt idx="0">
                  <c:v>Variable 1</c:v>
                </c:pt>
                <c:pt idx="1">
                  <c:v>Variable 2</c:v>
                </c:pt>
                <c:pt idx="2">
                  <c:v>Variable 3</c:v>
                </c:pt>
                <c:pt idx="3">
                  <c:v>Variable 4</c:v>
                </c:pt>
                <c:pt idx="4">
                  <c:v>Variable 5</c:v>
                </c:pt>
                <c:pt idx="5">
                  <c:v>Variable 6</c:v>
                </c:pt>
                <c:pt idx="6">
                  <c:v>Variable 7</c:v>
                </c:pt>
                <c:pt idx="7">
                  <c:v>Variable 8</c:v>
                </c:pt>
              </c:strCache>
            </c:strRef>
          </c:cat>
          <c:val>
            <c:numRef>
              <c:f>Dashboard!$AE$10:$AE$17</c:f>
              <c:numCache>
                <c:formatCode>General</c:formatCode>
                <c:ptCount val="8"/>
                <c:pt idx="0">
                  <c:v>761.21940815262496</c:v>
                </c:pt>
                <c:pt idx="1">
                  <c:v>4782.9915266943281</c:v>
                </c:pt>
                <c:pt idx="2">
                  <c:v>43341.817336385546</c:v>
                </c:pt>
                <c:pt idx="3">
                  <c:v>59127.807579368935</c:v>
                </c:pt>
                <c:pt idx="4">
                  <c:v>68993.464383749117</c:v>
                </c:pt>
                <c:pt idx="5">
                  <c:v>79741.559751811204</c:v>
                </c:pt>
                <c:pt idx="6">
                  <c:v>89104.697247682081</c:v>
                </c:pt>
                <c:pt idx="7">
                  <c:v>94637.76168210071</c:v>
                </c:pt>
              </c:numCache>
            </c:numRef>
          </c:val>
          <c:extLst>
            <c:ext xmlns:c16="http://schemas.microsoft.com/office/drawing/2014/chart" uri="{C3380CC4-5D6E-409C-BE32-E72D297353CC}">
              <c16:uniqueId val="{00000002-BCC3-42BF-A1A6-0BB168626E6C}"/>
            </c:ext>
          </c:extLst>
        </c:ser>
        <c:dLbls>
          <c:showLegendKey val="0"/>
          <c:showVal val="0"/>
          <c:showCatName val="0"/>
          <c:showSerName val="0"/>
          <c:showPercent val="0"/>
          <c:showBubbleSize val="0"/>
        </c:dLbls>
        <c:gapWidth val="150"/>
        <c:overlap val="100"/>
        <c:axId val="613575792"/>
        <c:axId val="613577104"/>
      </c:barChart>
      <c:catAx>
        <c:axId val="613575792"/>
        <c:scaling>
          <c:orientation val="minMax"/>
        </c:scaling>
        <c:delete val="0"/>
        <c:axPos val="l"/>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577104"/>
        <c:crosses val="autoZero"/>
        <c:auto val="1"/>
        <c:lblAlgn val="ctr"/>
        <c:lblOffset val="100"/>
        <c:noMultiLvlLbl val="0"/>
      </c:catAx>
      <c:valAx>
        <c:axId val="61357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575792"/>
        <c:crosses val="autoZero"/>
        <c:crossBetween val="between"/>
      </c:valAx>
      <c:spPr>
        <a:noFill/>
        <a:ln w="12700">
          <a:solidFill>
            <a:schemeClr val="tx1"/>
          </a:solid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Dashboard!$N$28</c:f>
          <c:strCache>
            <c:ptCount val="1"/>
            <c:pt idx="0">
              <c:v>Per-Mile Cost of Ownership,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Dashboard!$B$105</c:f>
              <c:strCache>
                <c:ptCount val="1"/>
                <c:pt idx="0">
                  <c:v>Vehicle</c:v>
                </c:pt>
              </c:strCache>
            </c:strRef>
          </c:tx>
          <c:spPr>
            <a:solidFill>
              <a:schemeClr val="accent1"/>
            </a:solidFill>
            <a:ln>
              <a:noFill/>
            </a:ln>
            <a:effectLst/>
          </c:spPr>
          <c:invertIfNegative val="0"/>
          <c:val>
            <c:numRef>
              <c:f>Dashboard!$C$105:$AF$105</c:f>
              <c:numCache>
                <c:formatCode>"$"#,##0.00</c:formatCode>
                <c:ptCount val="30"/>
                <c:pt idx="0">
                  <c:v>0.72288747331229386</c:v>
                </c:pt>
                <c:pt idx="1">
                  <c:v>0.66503188618621978</c:v>
                </c:pt>
                <c:pt idx="2">
                  <c:v>0.62243772513593554</c:v>
                </c:pt>
                <c:pt idx="3">
                  <c:v>0.59208443485272177</c:v>
                </c:pt>
                <c:pt idx="4">
                  <c:v>0.5979191646187465</c:v>
                </c:pt>
                <c:pt idx="5">
                  <c:v>0.60485947176223931</c:v>
                </c:pt>
                <c:pt idx="6">
                  <c:v>0.61284188475902901</c:v>
                </c:pt>
                <c:pt idx="7">
                  <c:v>0.62181232471699865</c:v>
                </c:pt>
                <c:pt idx="8">
                  <c:v>0.63172477345699929</c:v>
                </c:pt>
                <c:pt idx="9">
                  <c:v>0.64254017105824712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2EF9-451D-8C54-E88DD6D8A3D9}"/>
            </c:ext>
          </c:extLst>
        </c:ser>
        <c:ser>
          <c:idx val="1"/>
          <c:order val="1"/>
          <c:tx>
            <c:strRef>
              <c:f>Dashboard!$B$106</c:f>
              <c:strCache>
                <c:ptCount val="1"/>
                <c:pt idx="0">
                  <c:v>Financing</c:v>
                </c:pt>
              </c:strCache>
            </c:strRef>
          </c:tx>
          <c:spPr>
            <a:solidFill>
              <a:schemeClr val="accent2"/>
            </a:solidFill>
            <a:ln>
              <a:noFill/>
            </a:ln>
            <a:effectLst/>
          </c:spPr>
          <c:invertIfNegative val="0"/>
          <c:val>
            <c:numRef>
              <c:f>Dashboard!$C$106:$AF$106</c:f>
              <c:numCache>
                <c:formatCode>"$"#,##0.00</c:formatCode>
                <c:ptCount val="30"/>
                <c:pt idx="0">
                  <c:v>0.21321241406836772</c:v>
                </c:pt>
                <c:pt idx="1">
                  <c:v>0.17331620425690916</c:v>
                </c:pt>
                <c:pt idx="2">
                  <c:v>0.13359971073405993</c:v>
                </c:pt>
                <c:pt idx="3">
                  <c:v>9.134908436266112E-2</c:v>
                </c:pt>
                <c:pt idx="4">
                  <c:v>4.584272553433888E-2</c:v>
                </c:pt>
                <c:pt idx="5">
                  <c:v>2.7274886614098433E-3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2EF9-451D-8C54-E88DD6D8A3D9}"/>
            </c:ext>
          </c:extLst>
        </c:ser>
        <c:ser>
          <c:idx val="2"/>
          <c:order val="2"/>
          <c:tx>
            <c:strRef>
              <c:f>Dashboard!$B$107</c:f>
              <c:strCache>
                <c:ptCount val="1"/>
                <c:pt idx="0">
                  <c:v>Fuel</c:v>
                </c:pt>
              </c:strCache>
            </c:strRef>
          </c:tx>
          <c:spPr>
            <a:solidFill>
              <a:schemeClr val="accent3"/>
            </a:solidFill>
            <a:ln>
              <a:noFill/>
            </a:ln>
            <a:effectLst/>
          </c:spPr>
          <c:invertIfNegative val="0"/>
          <c:val>
            <c:numRef>
              <c:f>Dashboard!$C$107:$AF$107</c:f>
              <c:numCache>
                <c:formatCode>"$"#,##0.00</c:formatCode>
                <c:ptCount val="30"/>
                <c:pt idx="0">
                  <c:v>0.15620697056069116</c:v>
                </c:pt>
                <c:pt idx="1">
                  <c:v>0.15620697056069116</c:v>
                </c:pt>
                <c:pt idx="2">
                  <c:v>0.15620697056069116</c:v>
                </c:pt>
                <c:pt idx="3">
                  <c:v>0.15620697056069116</c:v>
                </c:pt>
                <c:pt idx="4">
                  <c:v>0.15620697056069116</c:v>
                </c:pt>
                <c:pt idx="5">
                  <c:v>0.15620697056069116</c:v>
                </c:pt>
                <c:pt idx="6">
                  <c:v>0.15620697056069116</c:v>
                </c:pt>
                <c:pt idx="7">
                  <c:v>0.15620697056069116</c:v>
                </c:pt>
                <c:pt idx="8">
                  <c:v>0.15620697056069116</c:v>
                </c:pt>
                <c:pt idx="9">
                  <c:v>0.15620697056069116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2EF9-451D-8C54-E88DD6D8A3D9}"/>
            </c:ext>
          </c:extLst>
        </c:ser>
        <c:ser>
          <c:idx val="3"/>
          <c:order val="3"/>
          <c:tx>
            <c:strRef>
              <c:f>Dashboard!$B$108</c:f>
              <c:strCache>
                <c:ptCount val="1"/>
                <c:pt idx="0">
                  <c:v>Insurance</c:v>
                </c:pt>
              </c:strCache>
            </c:strRef>
          </c:tx>
          <c:spPr>
            <a:solidFill>
              <a:schemeClr val="accent4"/>
            </a:solidFill>
            <a:ln>
              <a:noFill/>
            </a:ln>
            <a:effectLst/>
          </c:spPr>
          <c:invertIfNegative val="0"/>
          <c:val>
            <c:numRef>
              <c:f>Dashboard!$C$108:$AF$108</c:f>
              <c:numCache>
                <c:formatCode>"$"#,##0.00</c:formatCode>
                <c:ptCount val="30"/>
                <c:pt idx="0">
                  <c:v>0.47272212757726156</c:v>
                </c:pt>
                <c:pt idx="1">
                  <c:v>0.4763263393699112</c:v>
                </c:pt>
                <c:pt idx="2">
                  <c:v>0.48912936944483071</c:v>
                </c:pt>
                <c:pt idx="3">
                  <c:v>0.51113197021278289</c:v>
                </c:pt>
                <c:pt idx="4">
                  <c:v>0.56980179494216654</c:v>
                </c:pt>
                <c:pt idx="5">
                  <c:v>0.63520598287787355</c:v>
                </c:pt>
                <c:pt idx="6">
                  <c:v>0.70811753186000104</c:v>
                </c:pt>
                <c:pt idx="7">
                  <c:v>0.78939816759236359</c:v>
                </c:pt>
                <c:pt idx="8">
                  <c:v>0.88000852819074316</c:v>
                </c:pt>
                <c:pt idx="9">
                  <c:v>0.9810195177553761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2EF9-451D-8C54-E88DD6D8A3D9}"/>
            </c:ext>
          </c:extLst>
        </c:ser>
        <c:ser>
          <c:idx val="4"/>
          <c:order val="4"/>
          <c:tx>
            <c:strRef>
              <c:f>Dashboard!$B$109</c:f>
              <c:strCache>
                <c:ptCount val="1"/>
                <c:pt idx="0">
                  <c:v>Taxes &amp; fees</c:v>
                </c:pt>
              </c:strCache>
            </c:strRef>
          </c:tx>
          <c:spPr>
            <a:solidFill>
              <a:schemeClr val="accent5"/>
            </a:solidFill>
            <a:ln>
              <a:noFill/>
            </a:ln>
            <a:effectLst/>
          </c:spPr>
          <c:invertIfNegative val="0"/>
          <c:val>
            <c:numRef>
              <c:f>Dashboard!$C$109:$AF$109</c:f>
              <c:numCache>
                <c:formatCode>"$"#,##0.00</c:formatCode>
                <c:ptCount val="30"/>
                <c:pt idx="0">
                  <c:v>1.4095140793188059</c:v>
                </c:pt>
                <c:pt idx="1">
                  <c:v>3.0212699240034367E-3</c:v>
                </c:pt>
                <c:pt idx="2">
                  <c:v>3.1024777147643547E-3</c:v>
                </c:pt>
                <c:pt idx="3">
                  <c:v>3.2420370682067945E-3</c:v>
                </c:pt>
                <c:pt idx="4">
                  <c:v>3.6141713850617418E-3</c:v>
                </c:pt>
                <c:pt idx="5">
                  <c:v>4.0290208056825124E-3</c:v>
                </c:pt>
                <c:pt idx="6">
                  <c:v>4.4914883449405779E-3</c:v>
                </c:pt>
                <c:pt idx="7">
                  <c:v>5.0070398058715626E-3</c:v>
                </c:pt>
                <c:pt idx="8">
                  <c:v>5.5817683788098567E-3</c:v>
                </c:pt>
                <c:pt idx="9">
                  <c:v>6.2224666554769568E-3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2EF9-451D-8C54-E88DD6D8A3D9}"/>
            </c:ext>
          </c:extLst>
        </c:ser>
        <c:ser>
          <c:idx val="5"/>
          <c:order val="5"/>
          <c:tx>
            <c:strRef>
              <c:f>Dashboard!$B$110</c:f>
              <c:strCache>
                <c:ptCount val="1"/>
                <c:pt idx="0">
                  <c:v>Maintenance</c:v>
                </c:pt>
              </c:strCache>
            </c:strRef>
          </c:tx>
          <c:spPr>
            <a:solidFill>
              <a:schemeClr val="accent6"/>
            </a:solidFill>
            <a:ln>
              <a:noFill/>
            </a:ln>
            <a:effectLst/>
          </c:spPr>
          <c:invertIfNegative val="0"/>
          <c:val>
            <c:numRef>
              <c:f>Dashboard!$C$110:$AF$110</c:f>
              <c:numCache>
                <c:formatCode>"$"#,##0.00</c:formatCode>
                <c:ptCount val="30"/>
                <c:pt idx="0">
                  <c:v>0.37386016641010023</c:v>
                </c:pt>
                <c:pt idx="1">
                  <c:v>0.41183475477891629</c:v>
                </c:pt>
                <c:pt idx="2">
                  <c:v>0.44854462159240305</c:v>
                </c:pt>
                <c:pt idx="3">
                  <c:v>0.56175255202180152</c:v>
                </c:pt>
                <c:pt idx="4">
                  <c:v>0.65697175792112017</c:v>
                </c:pt>
                <c:pt idx="5">
                  <c:v>0.71379241807752192</c:v>
                </c:pt>
                <c:pt idx="6">
                  <c:v>0.81285822727008372</c:v>
                </c:pt>
                <c:pt idx="7">
                  <c:v>0.91496097231817575</c:v>
                </c:pt>
                <c:pt idx="8">
                  <c:v>1.0219866709847949</c:v>
                </c:pt>
                <c:pt idx="9">
                  <c:v>1.206695947545714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2EF9-451D-8C54-E88DD6D8A3D9}"/>
            </c:ext>
          </c:extLst>
        </c:ser>
        <c:ser>
          <c:idx val="6"/>
          <c:order val="6"/>
          <c:tx>
            <c:strRef>
              <c:f>Dashboard!$B$111</c:f>
              <c:strCache>
                <c:ptCount val="1"/>
                <c:pt idx="0">
                  <c:v>Repair</c:v>
                </c:pt>
              </c:strCache>
            </c:strRef>
          </c:tx>
          <c:spPr>
            <a:solidFill>
              <a:schemeClr val="accent1">
                <a:lumMod val="60000"/>
              </a:schemeClr>
            </a:solidFill>
            <a:ln>
              <a:noFill/>
            </a:ln>
            <a:effectLst/>
          </c:spPr>
          <c:invertIfNegative val="0"/>
          <c:val>
            <c:numRef>
              <c:f>Dashboard!$C$111:$AF$111</c:f>
              <c:numCache>
                <c:formatCode>"$"#,##0.00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2EF9-451D-8C54-E88DD6D8A3D9}"/>
            </c:ext>
          </c:extLst>
        </c:ser>
        <c:ser>
          <c:idx val="7"/>
          <c:order val="7"/>
          <c:tx>
            <c:strRef>
              <c:f>Dashboard!$B$112</c:f>
              <c:strCache>
                <c:ptCount val="1"/>
                <c:pt idx="0">
                  <c:v>Operational</c:v>
                </c:pt>
              </c:strCache>
            </c:strRef>
          </c:tx>
          <c:spPr>
            <a:solidFill>
              <a:schemeClr val="accent2">
                <a:lumMod val="60000"/>
              </a:schemeClr>
            </a:solidFill>
            <a:ln>
              <a:noFill/>
            </a:ln>
            <a:effectLst/>
          </c:spPr>
          <c:invertIfNegative val="0"/>
          <c:val>
            <c:numRef>
              <c:f>Dashboard!$C$112:$AF$112</c:f>
              <c:numCache>
                <c:formatCode>"$"#,##0.00</c:formatCode>
                <c:ptCount val="30"/>
                <c:pt idx="0">
                  <c:v>2.5731029939009945E-2</c:v>
                </c:pt>
                <c:pt idx="1">
                  <c:v>2.5731029939009938E-2</c:v>
                </c:pt>
                <c:pt idx="2">
                  <c:v>2.5731029939009942E-2</c:v>
                </c:pt>
                <c:pt idx="3">
                  <c:v>2.5731029939009942E-2</c:v>
                </c:pt>
                <c:pt idx="4">
                  <c:v>2.5731029939009942E-2</c:v>
                </c:pt>
                <c:pt idx="5">
                  <c:v>2.5731029939009945E-2</c:v>
                </c:pt>
                <c:pt idx="6">
                  <c:v>2.5731029939009945E-2</c:v>
                </c:pt>
                <c:pt idx="7">
                  <c:v>2.5731029939009942E-2</c:v>
                </c:pt>
                <c:pt idx="8">
                  <c:v>2.5731029939009942E-2</c:v>
                </c:pt>
                <c:pt idx="9">
                  <c:v>2.5731029939009942E-2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2EF9-451D-8C54-E88DD6D8A3D9}"/>
            </c:ext>
          </c:extLst>
        </c:ser>
        <c:ser>
          <c:idx val="9"/>
          <c:order val="8"/>
          <c:tx>
            <c:strRef>
              <c:f>Dashboard!$B$113</c:f>
              <c:strCache>
                <c:ptCount val="1"/>
                <c:pt idx="0">
                  <c:v>Labor</c:v>
                </c:pt>
              </c:strCache>
            </c:strRef>
          </c:tx>
          <c:spPr>
            <a:solidFill>
              <a:schemeClr val="accent4">
                <a:lumMod val="60000"/>
              </a:schemeClr>
            </a:solidFill>
            <a:ln>
              <a:noFill/>
            </a:ln>
            <a:effectLst/>
          </c:spPr>
          <c:invertIfNegative val="0"/>
          <c:val>
            <c:numRef>
              <c:f>Dashboard!$C$113:$AF$113</c:f>
              <c:numCache>
                <c:formatCode>"$"#,##0.00</c:formatCode>
                <c:ptCount val="30"/>
                <c:pt idx="0">
                  <c:v>2.002081774229167</c:v>
                </c:pt>
                <c:pt idx="1">
                  <c:v>2.0020817742291666</c:v>
                </c:pt>
                <c:pt idx="2">
                  <c:v>2.002081774229167</c:v>
                </c:pt>
                <c:pt idx="3">
                  <c:v>2.0020817742291666</c:v>
                </c:pt>
                <c:pt idx="4">
                  <c:v>2.0020817742291666</c:v>
                </c:pt>
                <c:pt idx="5">
                  <c:v>2.0020817742291666</c:v>
                </c:pt>
                <c:pt idx="6">
                  <c:v>2.0020817742291666</c:v>
                </c:pt>
                <c:pt idx="7">
                  <c:v>2.0020817742291666</c:v>
                </c:pt>
                <c:pt idx="8">
                  <c:v>2.0020817742291666</c:v>
                </c:pt>
                <c:pt idx="9">
                  <c:v>2.002081774229167</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9-2EF9-451D-8C54-E88DD6D8A3D9}"/>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Dashboard!$AO$3</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Dashboard!$B$128</c:f>
              <c:strCache>
                <c:ptCount val="1"/>
                <c:pt idx="0">
                  <c:v>Vehicle</c:v>
                </c:pt>
              </c:strCache>
            </c:strRef>
          </c:tx>
          <c:spPr>
            <a:solidFill>
              <a:schemeClr val="accent1"/>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Dashboard!$C$128:$AF$128</c:f>
              <c:numCache>
                <c:formatCode>General</c:formatCode>
                <c:ptCount val="30"/>
                <c:pt idx="0">
                  <c:v>0.72288747331229386</c:v>
                </c:pt>
                <c:pt idx="1">
                  <c:v>0.72288747331229386</c:v>
                </c:pt>
                <c:pt idx="2">
                  <c:v>0.72288747331229386</c:v>
                </c:pt>
                <c:pt idx="3">
                  <c:v>0.72288747331229386</c:v>
                </c:pt>
                <c:pt idx="4">
                  <c:v>0.72288747331229386</c:v>
                </c:pt>
                <c:pt idx="5">
                  <c:v>0.72288747331229386</c:v>
                </c:pt>
                <c:pt idx="6">
                  <c:v>0.72288747331229386</c:v>
                </c:pt>
                <c:pt idx="7">
                  <c:v>0.6884013047674733</c:v>
                </c:pt>
                <c:pt idx="8">
                  <c:v>0.66503188618621978</c:v>
                </c:pt>
                <c:pt idx="9">
                  <c:v>0.66503188618621978</c:v>
                </c:pt>
                <c:pt idx="10">
                  <c:v>0.66503188618621978</c:v>
                </c:pt>
                <c:pt idx="11">
                  <c:v>0.66503188618621978</c:v>
                </c:pt>
                <c:pt idx="12">
                  <c:v>0.66503188618621978</c:v>
                </c:pt>
                <c:pt idx="13">
                  <c:v>0.66503188618621978</c:v>
                </c:pt>
                <c:pt idx="14">
                  <c:v>0.65446130550295734</c:v>
                </c:pt>
                <c:pt idx="15">
                  <c:v>0.62243772513593554</c:v>
                </c:pt>
                <c:pt idx="16">
                  <c:v>0.62243772513593554</c:v>
                </c:pt>
                <c:pt idx="17">
                  <c:v>0.62243772513593554</c:v>
                </c:pt>
                <c:pt idx="18">
                  <c:v>0.62243772513593554</c:v>
                </c:pt>
                <c:pt idx="19">
                  <c:v>0.62243772513593554</c:v>
                </c:pt>
                <c:pt idx="20">
                  <c:v>0.62243772513593554</c:v>
                </c:pt>
                <c:pt idx="21">
                  <c:v>0.61962705381541827</c:v>
                </c:pt>
                <c:pt idx="22">
                  <c:v>0.59208443485272177</c:v>
                </c:pt>
                <c:pt idx="23">
                  <c:v>0.59208443485272177</c:v>
                </c:pt>
                <c:pt idx="24">
                  <c:v>0.59208443485272177</c:v>
                </c:pt>
                <c:pt idx="25">
                  <c:v>0.59208443485272177</c:v>
                </c:pt>
                <c:pt idx="26">
                  <c:v>0.59208443485272177</c:v>
                </c:pt>
                <c:pt idx="27">
                  <c:v>0.59208443485272177</c:v>
                </c:pt>
                <c:pt idx="28">
                  <c:v>0.59351424671132946</c:v>
                </c:pt>
                <c:pt idx="29">
                  <c:v>0.5979191646187465</c:v>
                </c:pt>
              </c:numCache>
            </c:numRef>
          </c:val>
          <c:extLst>
            <c:ext xmlns:c16="http://schemas.microsoft.com/office/drawing/2014/chart" uri="{C3380CC4-5D6E-409C-BE32-E72D297353CC}">
              <c16:uniqueId val="{00000000-184C-4126-9C19-631AC2A16CE9}"/>
            </c:ext>
          </c:extLst>
        </c:ser>
        <c:ser>
          <c:idx val="1"/>
          <c:order val="1"/>
          <c:tx>
            <c:strRef>
              <c:f>Dashboard!$B$129</c:f>
              <c:strCache>
                <c:ptCount val="1"/>
                <c:pt idx="0">
                  <c:v>Financing</c:v>
                </c:pt>
              </c:strCache>
            </c:strRef>
          </c:tx>
          <c:spPr>
            <a:solidFill>
              <a:schemeClr val="accent2"/>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Dashboard!$C$129:$AF$129</c:f>
              <c:numCache>
                <c:formatCode>General</c:formatCode>
                <c:ptCount val="30"/>
                <c:pt idx="0">
                  <c:v>0.21321241406836772</c:v>
                </c:pt>
                <c:pt idx="1">
                  <c:v>0.21321241406836772</c:v>
                </c:pt>
                <c:pt idx="2">
                  <c:v>0.21321241406836772</c:v>
                </c:pt>
                <c:pt idx="3">
                  <c:v>0.21321241406836772</c:v>
                </c:pt>
                <c:pt idx="4">
                  <c:v>0.21321241406836772</c:v>
                </c:pt>
                <c:pt idx="5">
                  <c:v>0.21321241406836772</c:v>
                </c:pt>
                <c:pt idx="6">
                  <c:v>0.21321241406836772</c:v>
                </c:pt>
                <c:pt idx="7">
                  <c:v>0.18943135014347295</c:v>
                </c:pt>
                <c:pt idx="8">
                  <c:v>0.17331620425690916</c:v>
                </c:pt>
                <c:pt idx="9">
                  <c:v>0.17331620425690916</c:v>
                </c:pt>
                <c:pt idx="10">
                  <c:v>0.17331620425690916</c:v>
                </c:pt>
                <c:pt idx="11">
                  <c:v>0.17331620425690916</c:v>
                </c:pt>
                <c:pt idx="12">
                  <c:v>0.17331620425690916</c:v>
                </c:pt>
                <c:pt idx="13">
                  <c:v>0.17331620425690916</c:v>
                </c:pt>
                <c:pt idx="14">
                  <c:v>0.16345977349533314</c:v>
                </c:pt>
                <c:pt idx="15">
                  <c:v>0.13359971073405993</c:v>
                </c:pt>
                <c:pt idx="16">
                  <c:v>0.13359971073405993</c:v>
                </c:pt>
                <c:pt idx="17">
                  <c:v>0.13359971073405993</c:v>
                </c:pt>
                <c:pt idx="18">
                  <c:v>0.13359971073405993</c:v>
                </c:pt>
                <c:pt idx="19">
                  <c:v>0.13359971073405993</c:v>
                </c:pt>
                <c:pt idx="20">
                  <c:v>0.13359971073405993</c:v>
                </c:pt>
                <c:pt idx="21">
                  <c:v>0.12968736308713433</c:v>
                </c:pt>
                <c:pt idx="22">
                  <c:v>9.134908436266112E-2</c:v>
                </c:pt>
                <c:pt idx="23">
                  <c:v>9.134908436266112E-2</c:v>
                </c:pt>
                <c:pt idx="24">
                  <c:v>9.134908436266112E-2</c:v>
                </c:pt>
                <c:pt idx="25">
                  <c:v>9.134908436266112E-2</c:v>
                </c:pt>
                <c:pt idx="26">
                  <c:v>9.134908436266112E-2</c:v>
                </c:pt>
                <c:pt idx="27">
                  <c:v>9.134908436266112E-2</c:v>
                </c:pt>
                <c:pt idx="28">
                  <c:v>8.0197662770924966E-2</c:v>
                </c:pt>
                <c:pt idx="29">
                  <c:v>4.584272553433888E-2</c:v>
                </c:pt>
              </c:numCache>
            </c:numRef>
          </c:val>
          <c:extLst>
            <c:ext xmlns:c16="http://schemas.microsoft.com/office/drawing/2014/chart" uri="{C3380CC4-5D6E-409C-BE32-E72D297353CC}">
              <c16:uniqueId val="{00000001-184C-4126-9C19-631AC2A16CE9}"/>
            </c:ext>
          </c:extLst>
        </c:ser>
        <c:ser>
          <c:idx val="2"/>
          <c:order val="2"/>
          <c:tx>
            <c:strRef>
              <c:f>Dashboard!$B$130</c:f>
              <c:strCache>
                <c:ptCount val="1"/>
                <c:pt idx="0">
                  <c:v>Fuel</c:v>
                </c:pt>
              </c:strCache>
            </c:strRef>
          </c:tx>
          <c:spPr>
            <a:solidFill>
              <a:schemeClr val="accent3"/>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Dashboard!$C$130:$AF$130</c:f>
              <c:numCache>
                <c:formatCode>General</c:formatCode>
                <c:ptCount val="30"/>
                <c:pt idx="0">
                  <c:v>0.15620697056069116</c:v>
                </c:pt>
                <c:pt idx="1">
                  <c:v>0.15620697056069116</c:v>
                </c:pt>
                <c:pt idx="2">
                  <c:v>0.15620697056069116</c:v>
                </c:pt>
                <c:pt idx="3">
                  <c:v>0.15620697056069116</c:v>
                </c:pt>
                <c:pt idx="4">
                  <c:v>0.15620697056069116</c:v>
                </c:pt>
                <c:pt idx="5">
                  <c:v>0.15620697056069116</c:v>
                </c:pt>
                <c:pt idx="6">
                  <c:v>0.15620697056069116</c:v>
                </c:pt>
                <c:pt idx="7">
                  <c:v>0.15620697056069116</c:v>
                </c:pt>
                <c:pt idx="8">
                  <c:v>0.15620697056069116</c:v>
                </c:pt>
                <c:pt idx="9">
                  <c:v>0.15620697056069116</c:v>
                </c:pt>
                <c:pt idx="10">
                  <c:v>0.15620697056069116</c:v>
                </c:pt>
                <c:pt idx="11">
                  <c:v>0.15620697056069116</c:v>
                </c:pt>
                <c:pt idx="12">
                  <c:v>0.15620697056069116</c:v>
                </c:pt>
                <c:pt idx="13">
                  <c:v>0.15620697056069116</c:v>
                </c:pt>
                <c:pt idx="14">
                  <c:v>0.15620697056069116</c:v>
                </c:pt>
                <c:pt idx="15">
                  <c:v>0.15620697056069116</c:v>
                </c:pt>
                <c:pt idx="16">
                  <c:v>0.15620697056069116</c:v>
                </c:pt>
                <c:pt idx="17">
                  <c:v>0.15620697056069116</c:v>
                </c:pt>
                <c:pt idx="18">
                  <c:v>0.15620697056069116</c:v>
                </c:pt>
                <c:pt idx="19">
                  <c:v>0.15620697056069116</c:v>
                </c:pt>
                <c:pt idx="20">
                  <c:v>0.15620697056069116</c:v>
                </c:pt>
                <c:pt idx="21">
                  <c:v>0.15620697056069116</c:v>
                </c:pt>
                <c:pt idx="22">
                  <c:v>0.15620697056069116</c:v>
                </c:pt>
                <c:pt idx="23">
                  <c:v>0.15620697056069116</c:v>
                </c:pt>
                <c:pt idx="24">
                  <c:v>0.15620697056069116</c:v>
                </c:pt>
                <c:pt idx="25">
                  <c:v>0.15620697056069116</c:v>
                </c:pt>
                <c:pt idx="26">
                  <c:v>0.15620697056069116</c:v>
                </c:pt>
                <c:pt idx="27">
                  <c:v>0.15620697056069116</c:v>
                </c:pt>
                <c:pt idx="28">
                  <c:v>0.15620697056069116</c:v>
                </c:pt>
                <c:pt idx="29">
                  <c:v>0.15620697056069116</c:v>
                </c:pt>
              </c:numCache>
            </c:numRef>
          </c:val>
          <c:extLst>
            <c:ext xmlns:c16="http://schemas.microsoft.com/office/drawing/2014/chart" uri="{C3380CC4-5D6E-409C-BE32-E72D297353CC}">
              <c16:uniqueId val="{00000002-184C-4126-9C19-631AC2A16CE9}"/>
            </c:ext>
          </c:extLst>
        </c:ser>
        <c:ser>
          <c:idx val="3"/>
          <c:order val="3"/>
          <c:tx>
            <c:strRef>
              <c:f>Dashboard!$B$131</c:f>
              <c:strCache>
                <c:ptCount val="1"/>
                <c:pt idx="0">
                  <c:v>Insurance</c:v>
                </c:pt>
              </c:strCache>
            </c:strRef>
          </c:tx>
          <c:spPr>
            <a:solidFill>
              <a:schemeClr val="accent4"/>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Dashboard!$C$131:$AF$131</c:f>
              <c:numCache>
                <c:formatCode>General</c:formatCode>
                <c:ptCount val="30"/>
                <c:pt idx="0">
                  <c:v>0.47272212757726156</c:v>
                </c:pt>
                <c:pt idx="1">
                  <c:v>0.47272212757726156</c:v>
                </c:pt>
                <c:pt idx="2">
                  <c:v>0.47272212757726156</c:v>
                </c:pt>
                <c:pt idx="3">
                  <c:v>0.47272212757726156</c:v>
                </c:pt>
                <c:pt idx="4">
                  <c:v>0.47272212757726156</c:v>
                </c:pt>
                <c:pt idx="5">
                  <c:v>0.47272212757726156</c:v>
                </c:pt>
                <c:pt idx="6">
                  <c:v>0.47272212757726156</c:v>
                </c:pt>
                <c:pt idx="7">
                  <c:v>0.47487050185754831</c:v>
                </c:pt>
                <c:pt idx="8">
                  <c:v>0.4763263393699112</c:v>
                </c:pt>
                <c:pt idx="9">
                  <c:v>0.4763263393699112</c:v>
                </c:pt>
                <c:pt idx="10">
                  <c:v>0.4763263393699112</c:v>
                </c:pt>
                <c:pt idx="11">
                  <c:v>0.4763263393699112</c:v>
                </c:pt>
                <c:pt idx="12">
                  <c:v>0.4763263393699112</c:v>
                </c:pt>
                <c:pt idx="13">
                  <c:v>0.4763263393699112</c:v>
                </c:pt>
                <c:pt idx="14">
                  <c:v>0.47950366365709229</c:v>
                </c:pt>
                <c:pt idx="15">
                  <c:v>0.48912936944483071</c:v>
                </c:pt>
                <c:pt idx="16">
                  <c:v>0.48912936944483071</c:v>
                </c:pt>
                <c:pt idx="17">
                  <c:v>0.48912936944483071</c:v>
                </c:pt>
                <c:pt idx="18">
                  <c:v>0.48912936944483071</c:v>
                </c:pt>
                <c:pt idx="19">
                  <c:v>0.48912936944483071</c:v>
                </c:pt>
                <c:pt idx="20">
                  <c:v>0.48912936944483071</c:v>
                </c:pt>
                <c:pt idx="21">
                  <c:v>0.49116677884520382</c:v>
                </c:pt>
                <c:pt idx="22">
                  <c:v>0.51113197021278289</c:v>
                </c:pt>
                <c:pt idx="23">
                  <c:v>0.51113197021278289</c:v>
                </c:pt>
                <c:pt idx="24">
                  <c:v>0.51113197021278289</c:v>
                </c:pt>
                <c:pt idx="25">
                  <c:v>0.51113197021278289</c:v>
                </c:pt>
                <c:pt idx="26">
                  <c:v>0.51113197021278289</c:v>
                </c:pt>
                <c:pt idx="27">
                  <c:v>0.51113197021278289</c:v>
                </c:pt>
                <c:pt idx="28">
                  <c:v>0.52550912468341116</c:v>
                </c:pt>
                <c:pt idx="29">
                  <c:v>0.56980179494216654</c:v>
                </c:pt>
              </c:numCache>
            </c:numRef>
          </c:val>
          <c:extLst>
            <c:ext xmlns:c16="http://schemas.microsoft.com/office/drawing/2014/chart" uri="{C3380CC4-5D6E-409C-BE32-E72D297353CC}">
              <c16:uniqueId val="{00000003-184C-4126-9C19-631AC2A16CE9}"/>
            </c:ext>
          </c:extLst>
        </c:ser>
        <c:ser>
          <c:idx val="4"/>
          <c:order val="4"/>
          <c:tx>
            <c:strRef>
              <c:f>Dashboard!$B$132</c:f>
              <c:strCache>
                <c:ptCount val="1"/>
                <c:pt idx="0">
                  <c:v>Taxes &amp; fees</c:v>
                </c:pt>
              </c:strCache>
            </c:strRef>
          </c:tx>
          <c:spPr>
            <a:solidFill>
              <a:schemeClr val="accent5"/>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Dashboard!$C$132:$AF$132</c:f>
              <c:numCache>
                <c:formatCode>General</c:formatCode>
                <c:ptCount val="30"/>
                <c:pt idx="0">
                  <c:v>1.4095140793188059</c:v>
                </c:pt>
                <c:pt idx="1">
                  <c:v>1.4095140793188059</c:v>
                </c:pt>
                <c:pt idx="2">
                  <c:v>1.4095140793188059</c:v>
                </c:pt>
                <c:pt idx="3">
                  <c:v>1.4095140793188059</c:v>
                </c:pt>
                <c:pt idx="4">
                  <c:v>1.4095140793188059</c:v>
                </c:pt>
                <c:pt idx="5">
                  <c:v>1.4095140793188059</c:v>
                </c:pt>
                <c:pt idx="6">
                  <c:v>1.4095140793188059</c:v>
                </c:pt>
                <c:pt idx="7">
                  <c:v>0.57114132240303328</c:v>
                </c:pt>
                <c:pt idx="8">
                  <c:v>3.0212699240034367E-3</c:v>
                </c:pt>
                <c:pt idx="9">
                  <c:v>3.0212699240034367E-3</c:v>
                </c:pt>
                <c:pt idx="10">
                  <c:v>3.0212699240034367E-3</c:v>
                </c:pt>
                <c:pt idx="11">
                  <c:v>3.0212699240034367E-3</c:v>
                </c:pt>
                <c:pt idx="12">
                  <c:v>3.0212699240034367E-3</c:v>
                </c:pt>
                <c:pt idx="13">
                  <c:v>3.0212699240034367E-3</c:v>
                </c:pt>
                <c:pt idx="14">
                  <c:v>3.0414232380535566E-3</c:v>
                </c:pt>
                <c:pt idx="15">
                  <c:v>3.1024777147643547E-3</c:v>
                </c:pt>
                <c:pt idx="16">
                  <c:v>3.1024777147643547E-3</c:v>
                </c:pt>
                <c:pt idx="17">
                  <c:v>3.1024777147643547E-3</c:v>
                </c:pt>
                <c:pt idx="18">
                  <c:v>3.1024777147643547E-3</c:v>
                </c:pt>
                <c:pt idx="19">
                  <c:v>3.1024777147643547E-3</c:v>
                </c:pt>
                <c:pt idx="20">
                  <c:v>3.1024777147643547E-3</c:v>
                </c:pt>
                <c:pt idx="21">
                  <c:v>3.1154007115324358E-3</c:v>
                </c:pt>
                <c:pt idx="22">
                  <c:v>3.2420370682067945E-3</c:v>
                </c:pt>
                <c:pt idx="23">
                  <c:v>3.2420370682067945E-3</c:v>
                </c:pt>
                <c:pt idx="24">
                  <c:v>3.2420370682067945E-3</c:v>
                </c:pt>
                <c:pt idx="25">
                  <c:v>3.2420370682067945E-3</c:v>
                </c:pt>
                <c:pt idx="26">
                  <c:v>3.2420370682067945E-3</c:v>
                </c:pt>
                <c:pt idx="27">
                  <c:v>3.2420370682067945E-3</c:v>
                </c:pt>
                <c:pt idx="28">
                  <c:v>3.3332293051347786E-3</c:v>
                </c:pt>
                <c:pt idx="29">
                  <c:v>3.6141713850617418E-3</c:v>
                </c:pt>
              </c:numCache>
            </c:numRef>
          </c:val>
          <c:extLst>
            <c:ext xmlns:c16="http://schemas.microsoft.com/office/drawing/2014/chart" uri="{C3380CC4-5D6E-409C-BE32-E72D297353CC}">
              <c16:uniqueId val="{00000004-184C-4126-9C19-631AC2A16CE9}"/>
            </c:ext>
          </c:extLst>
        </c:ser>
        <c:ser>
          <c:idx val="5"/>
          <c:order val="5"/>
          <c:tx>
            <c:strRef>
              <c:f>Dashboard!$B$133</c:f>
              <c:strCache>
                <c:ptCount val="1"/>
                <c:pt idx="0">
                  <c:v>Maintenance</c:v>
                </c:pt>
              </c:strCache>
            </c:strRef>
          </c:tx>
          <c:spPr>
            <a:solidFill>
              <a:schemeClr val="accent6"/>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Dashboard!$C$133:$AF$133</c:f>
              <c:numCache>
                <c:formatCode>General</c:formatCode>
                <c:ptCount val="30"/>
                <c:pt idx="0">
                  <c:v>0.37386016641010023</c:v>
                </c:pt>
                <c:pt idx="1">
                  <c:v>0.37386016641010023</c:v>
                </c:pt>
                <c:pt idx="2">
                  <c:v>0.37386016641010023</c:v>
                </c:pt>
                <c:pt idx="3">
                  <c:v>0.37386016641010023</c:v>
                </c:pt>
                <c:pt idx="4">
                  <c:v>0.37386016641010023</c:v>
                </c:pt>
                <c:pt idx="5">
                  <c:v>0.37386016641010023</c:v>
                </c:pt>
                <c:pt idx="6">
                  <c:v>0.37386016641010023</c:v>
                </c:pt>
                <c:pt idx="7">
                  <c:v>0.39649580317329491</c:v>
                </c:pt>
                <c:pt idx="8">
                  <c:v>0.41183475477891629</c:v>
                </c:pt>
                <c:pt idx="9">
                  <c:v>0.41183475477891629</c:v>
                </c:pt>
                <c:pt idx="10">
                  <c:v>0.41183475477891629</c:v>
                </c:pt>
                <c:pt idx="11">
                  <c:v>0.41183475477891629</c:v>
                </c:pt>
                <c:pt idx="12">
                  <c:v>0.41183475477891629</c:v>
                </c:pt>
                <c:pt idx="13">
                  <c:v>0.41183475477891629</c:v>
                </c:pt>
                <c:pt idx="14">
                  <c:v>0.42094503185575965</c:v>
                </c:pt>
                <c:pt idx="15">
                  <c:v>0.44854462159240305</c:v>
                </c:pt>
                <c:pt idx="16">
                  <c:v>0.44854462159240305</c:v>
                </c:pt>
                <c:pt idx="17">
                  <c:v>0.44854462159240305</c:v>
                </c:pt>
                <c:pt idx="18">
                  <c:v>0.44854462159240305</c:v>
                </c:pt>
                <c:pt idx="19">
                  <c:v>0.44854462159240305</c:v>
                </c:pt>
                <c:pt idx="20">
                  <c:v>0.44854462159240305</c:v>
                </c:pt>
                <c:pt idx="21">
                  <c:v>0.45902751423251303</c:v>
                </c:pt>
                <c:pt idx="22">
                  <c:v>0.56175255202180152</c:v>
                </c:pt>
                <c:pt idx="23">
                  <c:v>0.56175255202180152</c:v>
                </c:pt>
                <c:pt idx="24">
                  <c:v>0.56175255202180152</c:v>
                </c:pt>
                <c:pt idx="25">
                  <c:v>0.56175255202180152</c:v>
                </c:pt>
                <c:pt idx="26">
                  <c:v>0.56175255202180152</c:v>
                </c:pt>
                <c:pt idx="27">
                  <c:v>0.56175255202180152</c:v>
                </c:pt>
                <c:pt idx="28">
                  <c:v>0.58508620331698646</c:v>
                </c:pt>
                <c:pt idx="29">
                  <c:v>0.65697175792112017</c:v>
                </c:pt>
              </c:numCache>
            </c:numRef>
          </c:val>
          <c:extLst>
            <c:ext xmlns:c16="http://schemas.microsoft.com/office/drawing/2014/chart" uri="{C3380CC4-5D6E-409C-BE32-E72D297353CC}">
              <c16:uniqueId val="{00000005-184C-4126-9C19-631AC2A16CE9}"/>
            </c:ext>
          </c:extLst>
        </c:ser>
        <c:ser>
          <c:idx val="6"/>
          <c:order val="6"/>
          <c:tx>
            <c:strRef>
              <c:f>Dashboard!$B$134</c:f>
              <c:strCache>
                <c:ptCount val="1"/>
                <c:pt idx="0">
                  <c:v>Repair</c:v>
                </c:pt>
              </c:strCache>
            </c:strRef>
          </c:tx>
          <c:spPr>
            <a:solidFill>
              <a:schemeClr val="accent1">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Dashboard!$C$134:$AF$134</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184C-4126-9C19-631AC2A16CE9}"/>
            </c:ext>
          </c:extLst>
        </c:ser>
        <c:ser>
          <c:idx val="7"/>
          <c:order val="7"/>
          <c:tx>
            <c:strRef>
              <c:f>Dashboard!$B$135</c:f>
              <c:strCache>
                <c:ptCount val="1"/>
                <c:pt idx="0">
                  <c:v>Operational</c:v>
                </c:pt>
              </c:strCache>
            </c:strRef>
          </c:tx>
          <c:spPr>
            <a:solidFill>
              <a:schemeClr val="accent2">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Dashboard!$C$135:$AF$135</c:f>
              <c:numCache>
                <c:formatCode>General</c:formatCode>
                <c:ptCount val="30"/>
                <c:pt idx="0">
                  <c:v>2.5731029939009945E-2</c:v>
                </c:pt>
                <c:pt idx="1">
                  <c:v>2.5731029939009945E-2</c:v>
                </c:pt>
                <c:pt idx="2">
                  <c:v>2.5731029939009945E-2</c:v>
                </c:pt>
                <c:pt idx="3">
                  <c:v>2.5731029939009945E-2</c:v>
                </c:pt>
                <c:pt idx="4">
                  <c:v>2.5731029939009945E-2</c:v>
                </c:pt>
                <c:pt idx="5">
                  <c:v>2.5731029939009945E-2</c:v>
                </c:pt>
                <c:pt idx="6">
                  <c:v>2.5731029939009945E-2</c:v>
                </c:pt>
                <c:pt idx="7">
                  <c:v>2.5731029939009942E-2</c:v>
                </c:pt>
                <c:pt idx="8">
                  <c:v>2.5731029939009938E-2</c:v>
                </c:pt>
                <c:pt idx="9">
                  <c:v>2.5731029939009938E-2</c:v>
                </c:pt>
                <c:pt idx="10">
                  <c:v>2.5731029939009938E-2</c:v>
                </c:pt>
                <c:pt idx="11">
                  <c:v>2.5731029939009938E-2</c:v>
                </c:pt>
                <c:pt idx="12">
                  <c:v>2.5731029939009938E-2</c:v>
                </c:pt>
                <c:pt idx="13">
                  <c:v>2.5731029939009938E-2</c:v>
                </c:pt>
                <c:pt idx="14">
                  <c:v>2.5731029939009942E-2</c:v>
                </c:pt>
                <c:pt idx="15">
                  <c:v>2.5731029939009942E-2</c:v>
                </c:pt>
                <c:pt idx="16">
                  <c:v>2.5731029939009942E-2</c:v>
                </c:pt>
                <c:pt idx="17">
                  <c:v>2.5731029939009942E-2</c:v>
                </c:pt>
                <c:pt idx="18">
                  <c:v>2.5731029939009942E-2</c:v>
                </c:pt>
                <c:pt idx="19">
                  <c:v>2.5731029939009942E-2</c:v>
                </c:pt>
                <c:pt idx="20">
                  <c:v>2.5731029939009942E-2</c:v>
                </c:pt>
                <c:pt idx="21">
                  <c:v>2.5731029939009942E-2</c:v>
                </c:pt>
                <c:pt idx="22">
                  <c:v>2.5731029939009942E-2</c:v>
                </c:pt>
                <c:pt idx="23">
                  <c:v>2.5731029939009942E-2</c:v>
                </c:pt>
                <c:pt idx="24">
                  <c:v>2.5731029939009942E-2</c:v>
                </c:pt>
                <c:pt idx="25">
                  <c:v>2.5731029939009942E-2</c:v>
                </c:pt>
                <c:pt idx="26">
                  <c:v>2.5731029939009942E-2</c:v>
                </c:pt>
                <c:pt idx="27">
                  <c:v>2.5731029939009942E-2</c:v>
                </c:pt>
                <c:pt idx="28">
                  <c:v>2.5731029939009942E-2</c:v>
                </c:pt>
                <c:pt idx="29">
                  <c:v>2.5731029939009942E-2</c:v>
                </c:pt>
              </c:numCache>
            </c:numRef>
          </c:val>
          <c:extLst>
            <c:ext xmlns:c16="http://schemas.microsoft.com/office/drawing/2014/chart" uri="{C3380CC4-5D6E-409C-BE32-E72D297353CC}">
              <c16:uniqueId val="{00000007-184C-4126-9C19-631AC2A16CE9}"/>
            </c:ext>
          </c:extLst>
        </c:ser>
        <c:ser>
          <c:idx val="9"/>
          <c:order val="8"/>
          <c:tx>
            <c:strRef>
              <c:f>Dashboard!$B$136</c:f>
              <c:strCache>
                <c:ptCount val="1"/>
                <c:pt idx="0">
                  <c:v>Labor</c:v>
                </c:pt>
              </c:strCache>
            </c:strRef>
          </c:tx>
          <c:spPr>
            <a:solidFill>
              <a:schemeClr val="accent4">
                <a:lumMod val="60000"/>
              </a:schemeClr>
            </a:solidFill>
            <a:ln>
              <a:noFill/>
            </a:ln>
            <a:effectLst/>
          </c:spPr>
          <c:invertIfNegative val="0"/>
          <c:cat>
            <c:numRef>
              <c:f>Dashboard!$C$126:$AF$126</c:f>
              <c:numCache>
                <c:formatCode>#,"k";;0</c:formatCode>
                <c:ptCount val="3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pt idx="22">
                  <c:v>230000</c:v>
                </c:pt>
                <c:pt idx="23">
                  <c:v>240000</c:v>
                </c:pt>
                <c:pt idx="24">
                  <c:v>250000</c:v>
                </c:pt>
                <c:pt idx="25">
                  <c:v>260000</c:v>
                </c:pt>
                <c:pt idx="26">
                  <c:v>270000</c:v>
                </c:pt>
                <c:pt idx="27">
                  <c:v>280000</c:v>
                </c:pt>
                <c:pt idx="28">
                  <c:v>290000</c:v>
                </c:pt>
                <c:pt idx="29">
                  <c:v>300000</c:v>
                </c:pt>
              </c:numCache>
            </c:numRef>
          </c:cat>
          <c:val>
            <c:numRef>
              <c:f>Dashboard!$C$136:$AF$136</c:f>
              <c:numCache>
                <c:formatCode>General</c:formatCode>
                <c:ptCount val="30"/>
                <c:pt idx="0">
                  <c:v>2.002081774229167</c:v>
                </c:pt>
                <c:pt idx="1">
                  <c:v>2.002081774229167</c:v>
                </c:pt>
                <c:pt idx="2">
                  <c:v>2.002081774229167</c:v>
                </c:pt>
                <c:pt idx="3">
                  <c:v>2.002081774229167</c:v>
                </c:pt>
                <c:pt idx="4">
                  <c:v>2.002081774229167</c:v>
                </c:pt>
                <c:pt idx="5">
                  <c:v>2.002081774229167</c:v>
                </c:pt>
                <c:pt idx="6">
                  <c:v>2.002081774229167</c:v>
                </c:pt>
                <c:pt idx="7">
                  <c:v>2.0020817742291666</c:v>
                </c:pt>
                <c:pt idx="8">
                  <c:v>2.0020817742291666</c:v>
                </c:pt>
                <c:pt idx="9">
                  <c:v>2.0020817742291666</c:v>
                </c:pt>
                <c:pt idx="10">
                  <c:v>2.0020817742291666</c:v>
                </c:pt>
                <c:pt idx="11">
                  <c:v>2.0020817742291666</c:v>
                </c:pt>
                <c:pt idx="12">
                  <c:v>2.0020817742291666</c:v>
                </c:pt>
                <c:pt idx="13">
                  <c:v>2.0020817742291666</c:v>
                </c:pt>
                <c:pt idx="14">
                  <c:v>2.0020817742291666</c:v>
                </c:pt>
                <c:pt idx="15">
                  <c:v>2.002081774229167</c:v>
                </c:pt>
                <c:pt idx="16">
                  <c:v>2.002081774229167</c:v>
                </c:pt>
                <c:pt idx="17">
                  <c:v>2.002081774229167</c:v>
                </c:pt>
                <c:pt idx="18">
                  <c:v>2.002081774229167</c:v>
                </c:pt>
                <c:pt idx="19">
                  <c:v>2.002081774229167</c:v>
                </c:pt>
                <c:pt idx="20">
                  <c:v>2.002081774229167</c:v>
                </c:pt>
                <c:pt idx="21">
                  <c:v>2.002081774229167</c:v>
                </c:pt>
                <c:pt idx="22">
                  <c:v>2.0020817742291666</c:v>
                </c:pt>
                <c:pt idx="23">
                  <c:v>2.0020817742291666</c:v>
                </c:pt>
                <c:pt idx="24">
                  <c:v>2.0020817742291666</c:v>
                </c:pt>
                <c:pt idx="25">
                  <c:v>2.0020817742291666</c:v>
                </c:pt>
                <c:pt idx="26">
                  <c:v>2.0020817742291666</c:v>
                </c:pt>
                <c:pt idx="27">
                  <c:v>2.0020817742291666</c:v>
                </c:pt>
                <c:pt idx="28">
                  <c:v>2.0020817742291666</c:v>
                </c:pt>
                <c:pt idx="29">
                  <c:v>2.0020817742291666</c:v>
                </c:pt>
              </c:numCache>
            </c:numRef>
          </c:val>
          <c:extLst>
            <c:ext xmlns:c16="http://schemas.microsoft.com/office/drawing/2014/chart" uri="{C3380CC4-5D6E-409C-BE32-E72D297353CC}">
              <c16:uniqueId val="{00000009-184C-4126-9C19-631AC2A16CE9}"/>
            </c:ext>
          </c:extLst>
        </c:ser>
        <c:dLbls>
          <c:showLegendKey val="0"/>
          <c:showVal val="0"/>
          <c:showCatName val="0"/>
          <c:showSerName val="0"/>
          <c:showPercent val="0"/>
          <c:showBubbleSize val="0"/>
        </c:dLbls>
        <c:gapWidth val="0"/>
        <c:overlap val="100"/>
        <c:axId val="719907416"/>
        <c:axId val="719909056"/>
      </c:barChart>
      <c:catAx>
        <c:axId val="719907416"/>
        <c:scaling>
          <c:orientation val="minMax"/>
        </c:scaling>
        <c:delete val="0"/>
        <c:axPos val="b"/>
        <c:numFmt formatCode="#,&quot;k&quot;;;0"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M&amp;R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'Maintenance &amp; Repair'!$A$96:$B$96</c:f>
              <c:strCache>
                <c:ptCount val="2"/>
                <c:pt idx="0">
                  <c:v>Tractor - Sleeper</c:v>
                </c:pt>
                <c:pt idx="1">
                  <c:v>(using Semi-Tractor)</c:v>
                </c:pt>
              </c:strCache>
            </c:strRef>
          </c:tx>
          <c:spPr>
            <a:ln w="19050" cap="rnd">
              <a:solidFill>
                <a:schemeClr val="accent1"/>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Repair'!$C$96:$AK$96</c:f>
              <c:numCache>
                <c:formatCode>General</c:formatCode>
                <c:ptCount val="35"/>
                <c:pt idx="0">
                  <c:v>0.10189931707317075</c:v>
                </c:pt>
                <c:pt idx="1">
                  <c:v>0.12185460000000001</c:v>
                </c:pt>
                <c:pt idx="2">
                  <c:v>0.1490277512195122</c:v>
                </c:pt>
                <c:pt idx="3">
                  <c:v>0.17407800000000001</c:v>
                </c:pt>
                <c:pt idx="4">
                  <c:v>0.1982790878048781</c:v>
                </c:pt>
                <c:pt idx="5">
                  <c:v>0.24370920000000001</c:v>
                </c:pt>
                <c:pt idx="6">
                  <c:v>0.2560220341463415</c:v>
                </c:pt>
                <c:pt idx="7">
                  <c:v>0.2831951853658537</c:v>
                </c:pt>
                <c:pt idx="8">
                  <c:v>0.29296053658536586</c:v>
                </c:pt>
                <c:pt idx="9">
                  <c:v>0.32098284878048788</c:v>
                </c:pt>
                <c:pt idx="10">
                  <c:v>0.34942974146341466</c:v>
                </c:pt>
                <c:pt idx="11">
                  <c:v>0.38254701951219522</c:v>
                </c:pt>
                <c:pt idx="12">
                  <c:v>0.39613359512195129</c:v>
                </c:pt>
                <c:pt idx="13">
                  <c:v>0.37575373170731713</c:v>
                </c:pt>
                <c:pt idx="14">
                  <c:v>0.44580951219512205</c:v>
                </c:pt>
                <c:pt idx="15">
                  <c:v>0.46958601951219525</c:v>
                </c:pt>
                <c:pt idx="16">
                  <c:v>0.48109215073170736</c:v>
                </c:pt>
                <c:pt idx="17">
                  <c:v>0.50346754243902447</c:v>
                </c:pt>
                <c:pt idx="18">
                  <c:v>0.52584293414634153</c:v>
                </c:pt>
                <c:pt idx="19">
                  <c:v>0.54821832585365859</c:v>
                </c:pt>
                <c:pt idx="20">
                  <c:v>0.57059371756097566</c:v>
                </c:pt>
                <c:pt idx="21">
                  <c:v>0.59296910926829272</c:v>
                </c:pt>
                <c:pt idx="22">
                  <c:v>0.61534450097560978</c:v>
                </c:pt>
                <c:pt idx="23">
                  <c:v>0.63771989268292684</c:v>
                </c:pt>
                <c:pt idx="24">
                  <c:v>0.66009528439024412</c:v>
                </c:pt>
                <c:pt idx="25">
                  <c:v>0.68247067609756118</c:v>
                </c:pt>
                <c:pt idx="26">
                  <c:v>0.70484606780487824</c:v>
                </c:pt>
                <c:pt idx="27">
                  <c:v>0.7272214595121953</c:v>
                </c:pt>
                <c:pt idx="28">
                  <c:v>0.74959685121951236</c:v>
                </c:pt>
                <c:pt idx="29">
                  <c:v>0.77197224292682942</c:v>
                </c:pt>
                <c:pt idx="30">
                  <c:v>0.79434763463414648</c:v>
                </c:pt>
                <c:pt idx="31">
                  <c:v>0.81672302634146354</c:v>
                </c:pt>
                <c:pt idx="32">
                  <c:v>0.8390984180487806</c:v>
                </c:pt>
                <c:pt idx="33">
                  <c:v>0.86147380975609766</c:v>
                </c:pt>
                <c:pt idx="34">
                  <c:v>0.88384920146341495</c:v>
                </c:pt>
              </c:numCache>
            </c:numRef>
          </c:yVal>
          <c:smooth val="0"/>
          <c:extLst>
            <c:ext xmlns:c16="http://schemas.microsoft.com/office/drawing/2014/chart" uri="{C3380CC4-5D6E-409C-BE32-E72D297353CC}">
              <c16:uniqueId val="{00000000-950F-4B34-968A-1C80240B8C1E}"/>
            </c:ext>
          </c:extLst>
        </c:ser>
        <c:ser>
          <c:idx val="1"/>
          <c:order val="1"/>
          <c:tx>
            <c:strRef>
              <c:f>'Maintenance &amp; Repair'!$A$97:$B$97</c:f>
              <c:strCache>
                <c:ptCount val="2"/>
                <c:pt idx="0">
                  <c:v>Tractor - Day cab</c:v>
                </c:pt>
                <c:pt idx="1">
                  <c:v>(using Semi-Tractor)</c:v>
                </c:pt>
              </c:strCache>
            </c:strRef>
          </c:tx>
          <c:spPr>
            <a:ln w="19050" cap="rnd">
              <a:solidFill>
                <a:schemeClr val="accent2"/>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Repair'!$C$97:$AK$97</c:f>
              <c:numCache>
                <c:formatCode>General</c:formatCode>
                <c:ptCount val="35"/>
                <c:pt idx="0">
                  <c:v>0.10189931707317075</c:v>
                </c:pt>
                <c:pt idx="1">
                  <c:v>0.12185460000000001</c:v>
                </c:pt>
                <c:pt idx="2">
                  <c:v>0.1490277512195122</c:v>
                </c:pt>
                <c:pt idx="3">
                  <c:v>0.17407800000000001</c:v>
                </c:pt>
                <c:pt idx="4">
                  <c:v>0.1982790878048781</c:v>
                </c:pt>
                <c:pt idx="5">
                  <c:v>0.24370920000000001</c:v>
                </c:pt>
                <c:pt idx="6">
                  <c:v>0.2560220341463415</c:v>
                </c:pt>
                <c:pt idx="7">
                  <c:v>0.2831951853658537</c:v>
                </c:pt>
                <c:pt idx="8">
                  <c:v>0.29296053658536586</c:v>
                </c:pt>
                <c:pt idx="9">
                  <c:v>0.32098284878048788</c:v>
                </c:pt>
                <c:pt idx="10">
                  <c:v>0.34942974146341466</c:v>
                </c:pt>
                <c:pt idx="11">
                  <c:v>0.38254701951219522</c:v>
                </c:pt>
                <c:pt idx="12">
                  <c:v>0.39613359512195129</c:v>
                </c:pt>
                <c:pt idx="13">
                  <c:v>0.37575373170731713</c:v>
                </c:pt>
                <c:pt idx="14">
                  <c:v>0.44580951219512205</c:v>
                </c:pt>
                <c:pt idx="15">
                  <c:v>0.46958601951219525</c:v>
                </c:pt>
                <c:pt idx="16">
                  <c:v>0.48109215073170736</c:v>
                </c:pt>
                <c:pt idx="17">
                  <c:v>0.50346754243902447</c:v>
                </c:pt>
                <c:pt idx="18">
                  <c:v>0.52584293414634153</c:v>
                </c:pt>
                <c:pt idx="19">
                  <c:v>0.54821832585365859</c:v>
                </c:pt>
                <c:pt idx="20">
                  <c:v>0.57059371756097566</c:v>
                </c:pt>
                <c:pt idx="21">
                  <c:v>0.59296910926829272</c:v>
                </c:pt>
                <c:pt idx="22">
                  <c:v>0.61534450097560978</c:v>
                </c:pt>
                <c:pt idx="23">
                  <c:v>0.63771989268292684</c:v>
                </c:pt>
                <c:pt idx="24">
                  <c:v>0.66009528439024412</c:v>
                </c:pt>
                <c:pt idx="25">
                  <c:v>0.68247067609756118</c:v>
                </c:pt>
                <c:pt idx="26">
                  <c:v>0.70484606780487824</c:v>
                </c:pt>
                <c:pt idx="27">
                  <c:v>0.7272214595121953</c:v>
                </c:pt>
                <c:pt idx="28">
                  <c:v>0.74959685121951236</c:v>
                </c:pt>
                <c:pt idx="29">
                  <c:v>0.77197224292682942</c:v>
                </c:pt>
                <c:pt idx="30">
                  <c:v>0.79434763463414648</c:v>
                </c:pt>
                <c:pt idx="31">
                  <c:v>0.81672302634146354</c:v>
                </c:pt>
                <c:pt idx="32">
                  <c:v>0.8390984180487806</c:v>
                </c:pt>
                <c:pt idx="33">
                  <c:v>0.86147380975609766</c:v>
                </c:pt>
                <c:pt idx="34">
                  <c:v>0.88384920146341495</c:v>
                </c:pt>
              </c:numCache>
            </c:numRef>
          </c:yVal>
          <c:smooth val="0"/>
          <c:extLst>
            <c:ext xmlns:c16="http://schemas.microsoft.com/office/drawing/2014/chart" uri="{C3380CC4-5D6E-409C-BE32-E72D297353CC}">
              <c16:uniqueId val="{00000001-950F-4B34-968A-1C80240B8C1E}"/>
            </c:ext>
          </c:extLst>
        </c:ser>
        <c:ser>
          <c:idx val="2"/>
          <c:order val="2"/>
          <c:tx>
            <c:strRef>
              <c:f>'Maintenance &amp; Repair'!$A$98:$B$98</c:f>
              <c:strCache>
                <c:ptCount val="2"/>
                <c:pt idx="0">
                  <c:v>Class 8 Vocational</c:v>
                </c:pt>
                <c:pt idx="1">
                  <c:v>(using utility non-aerial)</c:v>
                </c:pt>
              </c:strCache>
            </c:strRef>
          </c:tx>
          <c:spPr>
            <a:ln w="19050" cap="rnd">
              <a:solidFill>
                <a:schemeClr val="accent3"/>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Repair'!$C$98:$AK$98</c:f>
              <c:numCache>
                <c:formatCode>General</c:formatCode>
                <c:ptCount val="35"/>
                <c:pt idx="0">
                  <c:v>0.25948421052631582</c:v>
                </c:pt>
                <c:pt idx="1">
                  <c:v>0.33144210526315787</c:v>
                </c:pt>
                <c:pt idx="2">
                  <c:v>0.3763894736842105</c:v>
                </c:pt>
                <c:pt idx="3">
                  <c:v>0.38368421052631579</c:v>
                </c:pt>
                <c:pt idx="4">
                  <c:v>0.45613684210526317</c:v>
                </c:pt>
                <c:pt idx="5">
                  <c:v>0.59407368421052631</c:v>
                </c:pt>
                <c:pt idx="6">
                  <c:v>0.46243157894736842</c:v>
                </c:pt>
                <c:pt idx="7">
                  <c:v>0.79810526315789487</c:v>
                </c:pt>
                <c:pt idx="8">
                  <c:v>0.67216842105263153</c:v>
                </c:pt>
                <c:pt idx="9">
                  <c:v>0.73354736842105261</c:v>
                </c:pt>
                <c:pt idx="10">
                  <c:v>0.68591578947368426</c:v>
                </c:pt>
                <c:pt idx="11">
                  <c:v>0.63061052631578951</c:v>
                </c:pt>
                <c:pt idx="12">
                  <c:v>0.43164210526315794</c:v>
                </c:pt>
                <c:pt idx="13">
                  <c:v>0.77013684210526301</c:v>
                </c:pt>
                <c:pt idx="14">
                  <c:v>0.80121052631578948</c:v>
                </c:pt>
                <c:pt idx="15">
                  <c:v>1.2335368421052633</c:v>
                </c:pt>
                <c:pt idx="16">
                  <c:v>1.2460536842105263</c:v>
                </c:pt>
                <c:pt idx="17">
                  <c:v>1.4035957894736839</c:v>
                </c:pt>
                <c:pt idx="18">
                  <c:v>1.5611378947368419</c:v>
                </c:pt>
                <c:pt idx="19">
                  <c:v>1.71868</c:v>
                </c:pt>
                <c:pt idx="20">
                  <c:v>1.8762221052631576</c:v>
                </c:pt>
                <c:pt idx="21">
                  <c:v>2.0337642105263156</c:v>
                </c:pt>
                <c:pt idx="22">
                  <c:v>2.1913063157894737</c:v>
                </c:pt>
                <c:pt idx="23">
                  <c:v>2.3488484210526313</c:v>
                </c:pt>
                <c:pt idx="24">
                  <c:v>2.5063905263157893</c:v>
                </c:pt>
                <c:pt idx="25">
                  <c:v>2.6639326315789473</c:v>
                </c:pt>
                <c:pt idx="26">
                  <c:v>2.8214747368421049</c:v>
                </c:pt>
                <c:pt idx="27">
                  <c:v>2.9790168421052634</c:v>
                </c:pt>
                <c:pt idx="28">
                  <c:v>3.136558947368421</c:v>
                </c:pt>
                <c:pt idx="29">
                  <c:v>3.2941010526315786</c:v>
                </c:pt>
                <c:pt idx="30">
                  <c:v>3.4516431578947371</c:v>
                </c:pt>
                <c:pt idx="31">
                  <c:v>3.6091852631578947</c:v>
                </c:pt>
                <c:pt idx="32">
                  <c:v>3.7667273684210523</c:v>
                </c:pt>
                <c:pt idx="33">
                  <c:v>3.9242694736842108</c:v>
                </c:pt>
                <c:pt idx="34">
                  <c:v>4.0818115789473683</c:v>
                </c:pt>
              </c:numCache>
            </c:numRef>
          </c:yVal>
          <c:smooth val="0"/>
          <c:extLst>
            <c:ext xmlns:c16="http://schemas.microsoft.com/office/drawing/2014/chart" uri="{C3380CC4-5D6E-409C-BE32-E72D297353CC}">
              <c16:uniqueId val="{00000002-950F-4B34-968A-1C80240B8C1E}"/>
            </c:ext>
          </c:extLst>
        </c:ser>
        <c:ser>
          <c:idx val="3"/>
          <c:order val="3"/>
          <c:tx>
            <c:strRef>
              <c:f>'Maintenance &amp; Repair'!$A$99:$B$99</c:f>
              <c:strCache>
                <c:ptCount val="2"/>
                <c:pt idx="0">
                  <c:v>Class 6 - Pickup/Delivery</c:v>
                </c:pt>
                <c:pt idx="1">
                  <c:v>(using Box truck)</c:v>
                </c:pt>
              </c:strCache>
            </c:strRef>
          </c:tx>
          <c:spPr>
            <a:ln w="19050" cap="rnd">
              <a:solidFill>
                <a:schemeClr val="accent4"/>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Repair'!$C$99:$AK$99</c:f>
              <c:numCache>
                <c:formatCode>General</c:formatCode>
                <c:ptCount val="35"/>
                <c:pt idx="0">
                  <c:v>0.26788887215780754</c:v>
                </c:pt>
                <c:pt idx="1">
                  <c:v>0.33713138081614213</c:v>
                </c:pt>
                <c:pt idx="2">
                  <c:v>0.38914877277518439</c:v>
                </c:pt>
                <c:pt idx="3">
                  <c:v>0.52222315916277673</c:v>
                </c:pt>
                <c:pt idx="4">
                  <c:v>0.66533812678813431</c:v>
                </c:pt>
                <c:pt idx="5">
                  <c:v>0.80326276163228427</c:v>
                </c:pt>
                <c:pt idx="6">
                  <c:v>0.97411782864026497</c:v>
                </c:pt>
                <c:pt idx="7">
                  <c:v>0.96926855895196506</c:v>
                </c:pt>
                <c:pt idx="8">
                  <c:v>0.95792267730763436</c:v>
                </c:pt>
                <c:pt idx="9">
                  <c:v>0.96041928926366504</c:v>
                </c:pt>
                <c:pt idx="10">
                  <c:v>1.0139342719469959</c:v>
                </c:pt>
                <c:pt idx="11">
                  <c:v>1.094268558951965</c:v>
                </c:pt>
                <c:pt idx="12">
                  <c:v>1.1339284746273153</c:v>
                </c:pt>
                <c:pt idx="13">
                  <c:v>1.1320898208101189</c:v>
                </c:pt>
                <c:pt idx="14">
                  <c:v>1.3302955880138534</c:v>
                </c:pt>
                <c:pt idx="15">
                  <c:v>1.3552965667821111</c:v>
                </c:pt>
                <c:pt idx="16">
                  <c:v>1.4247027405511219</c:v>
                </c:pt>
                <c:pt idx="17">
                  <c:v>1.4965450534558049</c:v>
                </c:pt>
                <c:pt idx="18">
                  <c:v>1.5683873663604879</c:v>
                </c:pt>
                <c:pt idx="19">
                  <c:v>1.6402296792651709</c:v>
                </c:pt>
                <c:pt idx="20">
                  <c:v>1.7120719921698542</c:v>
                </c:pt>
                <c:pt idx="21">
                  <c:v>1.7839143050745372</c:v>
                </c:pt>
                <c:pt idx="22">
                  <c:v>1.8557566179792202</c:v>
                </c:pt>
                <c:pt idx="23">
                  <c:v>1.9275989308839032</c:v>
                </c:pt>
                <c:pt idx="24">
                  <c:v>1.9994412437885862</c:v>
                </c:pt>
                <c:pt idx="25">
                  <c:v>2.0712835566932695</c:v>
                </c:pt>
                <c:pt idx="26">
                  <c:v>2.1431258695979523</c:v>
                </c:pt>
                <c:pt idx="27">
                  <c:v>2.2149681825026355</c:v>
                </c:pt>
                <c:pt idx="28">
                  <c:v>2.2868104954073183</c:v>
                </c:pt>
                <c:pt idx="29">
                  <c:v>2.3586528083120015</c:v>
                </c:pt>
                <c:pt idx="30">
                  <c:v>2.4304951212166843</c:v>
                </c:pt>
                <c:pt idx="31">
                  <c:v>2.5023374341213676</c:v>
                </c:pt>
                <c:pt idx="32">
                  <c:v>2.5741797470260508</c:v>
                </c:pt>
                <c:pt idx="33">
                  <c:v>2.6460220599307336</c:v>
                </c:pt>
                <c:pt idx="34">
                  <c:v>2.7178643728354168</c:v>
                </c:pt>
              </c:numCache>
            </c:numRef>
          </c:yVal>
          <c:smooth val="0"/>
          <c:extLst>
            <c:ext xmlns:c16="http://schemas.microsoft.com/office/drawing/2014/chart" uri="{C3380CC4-5D6E-409C-BE32-E72D297353CC}">
              <c16:uniqueId val="{00000003-950F-4B34-968A-1C80240B8C1E}"/>
            </c:ext>
          </c:extLst>
        </c:ser>
        <c:ser>
          <c:idx val="4"/>
          <c:order val="4"/>
          <c:tx>
            <c:strRef>
              <c:f>'Maintenance &amp; Repair'!$A$100:$B$100</c:f>
              <c:strCache>
                <c:ptCount val="2"/>
                <c:pt idx="0">
                  <c:v>Class 3 - Pickup/Delivery</c:v>
                </c:pt>
                <c:pt idx="1">
                  <c:v>(using MD van)</c:v>
                </c:pt>
              </c:strCache>
            </c:strRef>
          </c:tx>
          <c:spPr>
            <a:ln w="19050" cap="rnd">
              <a:solidFill>
                <a:schemeClr val="accent5"/>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Repair'!$C$100:$AK$100</c:f>
              <c:numCache>
                <c:formatCode>General</c:formatCode>
                <c:ptCount val="35"/>
                <c:pt idx="0">
                  <c:v>0.10061529399240621</c:v>
                </c:pt>
                <c:pt idx="1">
                  <c:v>0.10105046662645045</c:v>
                </c:pt>
                <c:pt idx="2">
                  <c:v>0.12986219083779851</c:v>
                </c:pt>
                <c:pt idx="3">
                  <c:v>0.15549107554735458</c:v>
                </c:pt>
                <c:pt idx="4">
                  <c:v>0.18454154217380503</c:v>
                </c:pt>
                <c:pt idx="5">
                  <c:v>0.21288665412866825</c:v>
                </c:pt>
                <c:pt idx="6">
                  <c:v>0.25822361165324159</c:v>
                </c:pt>
                <c:pt idx="7">
                  <c:v>0.29169294205315632</c:v>
                </c:pt>
                <c:pt idx="8">
                  <c:v>0.31587849969837833</c:v>
                </c:pt>
                <c:pt idx="9">
                  <c:v>0.31697399666441928</c:v>
                </c:pt>
                <c:pt idx="10">
                  <c:v>0.31974069053617687</c:v>
                </c:pt>
                <c:pt idx="11">
                  <c:v>0.32127407827969195</c:v>
                </c:pt>
                <c:pt idx="12">
                  <c:v>0.34161103580426527</c:v>
                </c:pt>
                <c:pt idx="13">
                  <c:v>0.36446779035520388</c:v>
                </c:pt>
                <c:pt idx="14">
                  <c:v>0.4308361875022178</c:v>
                </c:pt>
                <c:pt idx="15">
                  <c:v>0.51790722117738908</c:v>
                </c:pt>
                <c:pt idx="16">
                  <c:v>0.53996669387175755</c:v>
                </c:pt>
                <c:pt idx="17">
                  <c:v>0.58821583762109242</c:v>
                </c:pt>
                <c:pt idx="18">
                  <c:v>0.63646498137042706</c:v>
                </c:pt>
                <c:pt idx="19">
                  <c:v>0.68471412511976171</c:v>
                </c:pt>
                <c:pt idx="20">
                  <c:v>0.73296326886909635</c:v>
                </c:pt>
                <c:pt idx="21">
                  <c:v>0.781212412618431</c:v>
                </c:pt>
                <c:pt idx="22">
                  <c:v>0.82946155636776586</c:v>
                </c:pt>
                <c:pt idx="23">
                  <c:v>0.87771070011710051</c:v>
                </c:pt>
                <c:pt idx="24">
                  <c:v>0.92595984386643515</c:v>
                </c:pt>
                <c:pt idx="25">
                  <c:v>0.97420898761576979</c:v>
                </c:pt>
                <c:pt idx="26">
                  <c:v>1.0224581313651044</c:v>
                </c:pt>
                <c:pt idx="27">
                  <c:v>1.0707072751144391</c:v>
                </c:pt>
                <c:pt idx="28">
                  <c:v>1.1189564188637739</c:v>
                </c:pt>
                <c:pt idx="29">
                  <c:v>1.1672055626131086</c:v>
                </c:pt>
                <c:pt idx="30">
                  <c:v>1.2154547063624432</c:v>
                </c:pt>
                <c:pt idx="31">
                  <c:v>1.2637038501117779</c:v>
                </c:pt>
                <c:pt idx="32">
                  <c:v>1.3119529938611125</c:v>
                </c:pt>
                <c:pt idx="33">
                  <c:v>1.3602021376104472</c:v>
                </c:pt>
                <c:pt idx="34">
                  <c:v>1.4084512813597818</c:v>
                </c:pt>
              </c:numCache>
            </c:numRef>
          </c:yVal>
          <c:smooth val="0"/>
          <c:extLst>
            <c:ext xmlns:c16="http://schemas.microsoft.com/office/drawing/2014/chart" uri="{C3380CC4-5D6E-409C-BE32-E72D297353CC}">
              <c16:uniqueId val="{00000004-950F-4B34-968A-1C80240B8C1E}"/>
            </c:ext>
          </c:extLst>
        </c:ser>
        <c:ser>
          <c:idx val="5"/>
          <c:order val="5"/>
          <c:tx>
            <c:strRef>
              <c:f>'Maintenance &amp; Repair'!$A$101:$B$101</c:f>
              <c:strCache>
                <c:ptCount val="2"/>
                <c:pt idx="0">
                  <c:v>Class 8 Bus</c:v>
                </c:pt>
                <c:pt idx="1">
                  <c:v>(using Bus)</c:v>
                </c:pt>
              </c:strCache>
            </c:strRef>
          </c:tx>
          <c:spPr>
            <a:ln w="19050" cap="rnd">
              <a:solidFill>
                <a:schemeClr val="accent6"/>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Repair'!$C$101:$AK$101</c:f>
              <c:numCache>
                <c:formatCode>General</c:formatCode>
                <c:ptCount val="35"/>
                <c:pt idx="0">
                  <c:v>0.186</c:v>
                </c:pt>
                <c:pt idx="1">
                  <c:v>0.374</c:v>
                </c:pt>
                <c:pt idx="2">
                  <c:v>0.58399999999999996</c:v>
                </c:pt>
                <c:pt idx="3">
                  <c:v>0.55500000000000005</c:v>
                </c:pt>
                <c:pt idx="4">
                  <c:v>0.64200000000000002</c:v>
                </c:pt>
                <c:pt idx="5">
                  <c:v>0.82799999999999996</c:v>
                </c:pt>
                <c:pt idx="6">
                  <c:v>0.747</c:v>
                </c:pt>
                <c:pt idx="7">
                  <c:v>0.82699999999999996</c:v>
                </c:pt>
                <c:pt idx="8">
                  <c:v>1.0620000000000001</c:v>
                </c:pt>
                <c:pt idx="9">
                  <c:v>1.1599999999999999</c:v>
                </c:pt>
                <c:pt idx="10">
                  <c:v>1.4379999999999999</c:v>
                </c:pt>
                <c:pt idx="11">
                  <c:v>1.6910000000000001</c:v>
                </c:pt>
                <c:pt idx="12">
                  <c:v>1.137</c:v>
                </c:pt>
                <c:pt idx="13">
                  <c:v>1.401</c:v>
                </c:pt>
                <c:pt idx="14">
                  <c:v>1.1220000000000001</c:v>
                </c:pt>
                <c:pt idx="15">
                  <c:v>2.0259999999999998</c:v>
                </c:pt>
                <c:pt idx="16">
                  <c:v>1.6718999999999999</c:v>
                </c:pt>
                <c:pt idx="17">
                  <c:v>1.7374000000000001</c:v>
                </c:pt>
                <c:pt idx="18">
                  <c:v>1.8028999999999997</c:v>
                </c:pt>
                <c:pt idx="19">
                  <c:v>1.8683999999999998</c:v>
                </c:pt>
                <c:pt idx="20">
                  <c:v>1.9339</c:v>
                </c:pt>
                <c:pt idx="21">
                  <c:v>1.9993999999999996</c:v>
                </c:pt>
                <c:pt idx="22">
                  <c:v>2.0648999999999997</c:v>
                </c:pt>
                <c:pt idx="23">
                  <c:v>2.1303999999999998</c:v>
                </c:pt>
                <c:pt idx="24">
                  <c:v>2.1958999999999995</c:v>
                </c:pt>
                <c:pt idx="25">
                  <c:v>2.2613999999999996</c:v>
                </c:pt>
                <c:pt idx="26">
                  <c:v>2.3268999999999993</c:v>
                </c:pt>
                <c:pt idx="27">
                  <c:v>2.3923999999999994</c:v>
                </c:pt>
                <c:pt idx="28">
                  <c:v>2.4578999999999995</c:v>
                </c:pt>
                <c:pt idx="29">
                  <c:v>2.5233999999999992</c:v>
                </c:pt>
                <c:pt idx="30">
                  <c:v>2.5888999999999993</c:v>
                </c:pt>
                <c:pt idx="31">
                  <c:v>2.6543999999999994</c:v>
                </c:pt>
                <c:pt idx="32">
                  <c:v>2.7198999999999995</c:v>
                </c:pt>
                <c:pt idx="33">
                  <c:v>2.7853999999999992</c:v>
                </c:pt>
                <c:pt idx="34">
                  <c:v>2.8508999999999993</c:v>
                </c:pt>
              </c:numCache>
            </c:numRef>
          </c:yVal>
          <c:smooth val="0"/>
          <c:extLst>
            <c:ext xmlns:c16="http://schemas.microsoft.com/office/drawing/2014/chart" uri="{C3380CC4-5D6E-409C-BE32-E72D297353CC}">
              <c16:uniqueId val="{00000005-950F-4B34-968A-1C80240B8C1E}"/>
            </c:ext>
          </c:extLst>
        </c:ser>
        <c:ser>
          <c:idx val="6"/>
          <c:order val="6"/>
          <c:tx>
            <c:strRef>
              <c:f>'Maintenance &amp; Repair'!$A$102:$B$102</c:f>
              <c:strCache>
                <c:ptCount val="2"/>
                <c:pt idx="0">
                  <c:v>Class 8 Refuse</c:v>
                </c:pt>
                <c:pt idx="1">
                  <c:v>(using Refuse)</c:v>
                </c:pt>
              </c:strCache>
            </c:strRef>
          </c:tx>
          <c:spPr>
            <a:ln w="19050" cap="rnd">
              <a:solidFill>
                <a:schemeClr val="accent1">
                  <a:lumMod val="60000"/>
                </a:schemeClr>
              </a:solidFill>
              <a:round/>
            </a:ln>
            <a:effectLst/>
          </c:spPr>
          <c:marker>
            <c:symbol val="none"/>
          </c:marker>
          <c:xVal>
            <c:numRef>
              <c:f>'Maintenance &amp; Repair'!$C$95:$AK$95</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xVal>
          <c:yVal>
            <c:numRef>
              <c:f>'Maintenance &amp; Repair'!$C$102:$AK$102</c:f>
              <c:numCache>
                <c:formatCode>General</c:formatCode>
                <c:ptCount val="35"/>
                <c:pt idx="0">
                  <c:v>1.384128685453657</c:v>
                </c:pt>
                <c:pt idx="1">
                  <c:v>1.6679196123147093</c:v>
                </c:pt>
                <c:pt idx="2">
                  <c:v>2.0431209480371395</c:v>
                </c:pt>
                <c:pt idx="3">
                  <c:v>2.487623717217788</c:v>
                </c:pt>
                <c:pt idx="4">
                  <c:v>2.92784598468806</c:v>
                </c:pt>
                <c:pt idx="5">
                  <c:v>3.2486292555790848</c:v>
                </c:pt>
                <c:pt idx="6">
                  <c:v>3.5177580224792311</c:v>
                </c:pt>
                <c:pt idx="7">
                  <c:v>3.6562607102133899</c:v>
                </c:pt>
                <c:pt idx="8">
                  <c:v>3.743838247271543</c:v>
                </c:pt>
                <c:pt idx="9">
                  <c:v>3.4555280990389314</c:v>
                </c:pt>
                <c:pt idx="10">
                  <c:v>4.0392441765759894</c:v>
                </c:pt>
                <c:pt idx="11">
                  <c:v>4.5132749633490796</c:v>
                </c:pt>
                <c:pt idx="12">
                  <c:v>3.5389508063202473</c:v>
                </c:pt>
                <c:pt idx="13">
                  <c:v>4.1409604984525163</c:v>
                </c:pt>
                <c:pt idx="14">
                  <c:v>4.492263235054569</c:v>
                </c:pt>
                <c:pt idx="15">
                  <c:v>4.0877980127056519</c:v>
                </c:pt>
                <c:pt idx="16">
                  <c:v>4.1853570614106532</c:v>
                </c:pt>
                <c:pt idx="17">
                  <c:v>4.1955929141553998</c:v>
                </c:pt>
                <c:pt idx="18">
                  <c:v>4.2058287669001464</c:v>
                </c:pt>
                <c:pt idx="19">
                  <c:v>4.216064619644893</c:v>
                </c:pt>
                <c:pt idx="20">
                  <c:v>4.2263004723896396</c:v>
                </c:pt>
                <c:pt idx="21">
                  <c:v>4.2365363251343862</c:v>
                </c:pt>
                <c:pt idx="22">
                  <c:v>4.2467721778791327</c:v>
                </c:pt>
                <c:pt idx="23">
                  <c:v>4.2570080306238793</c:v>
                </c:pt>
                <c:pt idx="24">
                  <c:v>4.2672438833686259</c:v>
                </c:pt>
                <c:pt idx="25">
                  <c:v>4.2774797361133725</c:v>
                </c:pt>
                <c:pt idx="26">
                  <c:v>4.2877155888581191</c:v>
                </c:pt>
                <c:pt idx="27">
                  <c:v>4.2979514416028657</c:v>
                </c:pt>
                <c:pt idx="28">
                  <c:v>4.3081872943476132</c:v>
                </c:pt>
                <c:pt idx="29">
                  <c:v>4.3184231470923589</c:v>
                </c:pt>
                <c:pt idx="30">
                  <c:v>4.3286589998371063</c:v>
                </c:pt>
                <c:pt idx="31">
                  <c:v>4.3388948525818529</c:v>
                </c:pt>
                <c:pt idx="32">
                  <c:v>4.3491307053265995</c:v>
                </c:pt>
                <c:pt idx="33">
                  <c:v>4.3593665580713461</c:v>
                </c:pt>
                <c:pt idx="34">
                  <c:v>4.3696024108160927</c:v>
                </c:pt>
              </c:numCache>
            </c:numRef>
          </c:yVal>
          <c:smooth val="0"/>
          <c:extLst>
            <c:ext xmlns:c16="http://schemas.microsoft.com/office/drawing/2014/chart" uri="{C3380CC4-5D6E-409C-BE32-E72D297353CC}">
              <c16:uniqueId val="{00000006-950F-4B34-968A-1C80240B8C1E}"/>
            </c:ext>
          </c:extLst>
        </c:ser>
        <c:dLbls>
          <c:showLegendKey val="0"/>
          <c:showVal val="0"/>
          <c:showCatName val="0"/>
          <c:showSerName val="0"/>
          <c:showPercent val="0"/>
          <c:showBubbleSize val="0"/>
        </c:dLbls>
        <c:axId val="428225200"/>
        <c:axId val="428233400"/>
      </c:scatterChart>
      <c:valAx>
        <c:axId val="42822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33400"/>
        <c:crosses val="autoZero"/>
        <c:crossBetween val="midCat"/>
      </c:valAx>
      <c:valAx>
        <c:axId val="428233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225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VMT!$A$5</c:f>
              <c:strCache>
                <c:ptCount val="1"/>
                <c:pt idx="0">
                  <c:v>Cumulative VMT</c:v>
                </c:pt>
              </c:strCache>
            </c:strRef>
          </c:tx>
          <c:spPr>
            <a:ln w="25400" cap="rnd">
              <a:noFill/>
              <a:round/>
            </a:ln>
            <a:effectLst/>
          </c:spPr>
          <c:marker>
            <c:symbol val="circle"/>
            <c:size val="5"/>
            <c:spPr>
              <a:solidFill>
                <a:schemeClr val="accent1"/>
              </a:solidFill>
              <a:ln w="9525">
                <a:solidFill>
                  <a:schemeClr val="accent1"/>
                </a:solidFill>
              </a:ln>
              <a:effectLst/>
            </c:spPr>
          </c:marker>
          <c:xVal>
            <c:numRef>
              <c:f>VMT!$B$3:$AL$3</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numCache>
            </c:numRef>
          </c:xVal>
          <c:yVal>
            <c:numRef>
              <c:f>VMT!$B$5:$AL$5</c:f>
              <c:numCache>
                <c:formatCode>General</c:formatCode>
                <c:ptCount val="37"/>
                <c:pt idx="0">
                  <c:v>0</c:v>
                </c:pt>
                <c:pt idx="1">
                  <c:v>74039.267379713696</c:v>
                </c:pt>
                <c:pt idx="2">
                  <c:v>147518.30287940562</c:v>
                </c:pt>
                <c:pt idx="3">
                  <c:v>219074.01428501093</c:v>
                </c:pt>
                <c:pt idx="4">
                  <c:v>287549.48058274534</c:v>
                </c:pt>
                <c:pt idx="5">
                  <c:v>348974.34851169318</c:v>
                </c:pt>
                <c:pt idx="6">
                  <c:v>404074.58519622264</c:v>
                </c:pt>
                <c:pt idx="7">
                  <c:v>453501.40832269721</c:v>
                </c:pt>
                <c:pt idx="8">
                  <c:v>497838.98273935536</c:v>
                </c:pt>
                <c:pt idx="9">
                  <c:v>537611.32457331277</c:v>
                </c:pt>
                <c:pt idx="10">
                  <c:v>573288.49446294131</c:v>
                </c:pt>
                <c:pt idx="11">
                  <c:v>605292.15310208767</c:v>
                </c:pt>
                <c:pt idx="12">
                  <c:v>634236.7435002384</c:v>
                </c:pt>
                <c:pt idx="13">
                  <c:v>660414.66655469651</c:v>
                </c:pt>
                <c:pt idx="14">
                  <c:v>684090.37403642735</c:v>
                </c:pt>
                <c:pt idx="15">
                  <c:v>705503.04010601551</c:v>
                </c:pt>
                <c:pt idx="16">
                  <c:v>724868.97747289203</c:v>
                </c:pt>
                <c:pt idx="17">
                  <c:v>742383.82260609313</c:v>
                </c:pt>
                <c:pt idx="18">
                  <c:v>758140.804288371</c:v>
                </c:pt>
                <c:pt idx="19">
                  <c:v>772316.34908179857</c:v>
                </c:pt>
                <c:pt idx="20">
                  <c:v>785069.17663737538</c:v>
                </c:pt>
                <c:pt idx="21">
                  <c:v>796542.07683502312</c:v>
                </c:pt>
                <c:pt idx="22">
                  <c:v>806863.50856234424</c:v>
                </c:pt>
                <c:pt idx="23">
                  <c:v>816149.03803322662</c:v>
                </c:pt>
                <c:pt idx="24">
                  <c:v>824502.6327507497</c:v>
                </c:pt>
                <c:pt idx="25">
                  <c:v>832017.82560253644</c:v>
                </c:pt>
                <c:pt idx="26">
                  <c:v>838778.76212260418</c:v>
                </c:pt>
                <c:pt idx="27">
                  <c:v>844861.14264561597</c:v>
                </c:pt>
                <c:pt idx="28">
                  <c:v>850333.06990257278</c:v>
                </c:pt>
                <c:pt idx="29">
                  <c:v>855255.81154824025</c:v>
                </c:pt>
                <c:pt idx="30">
                  <c:v>859684.48615811917</c:v>
                </c:pt>
              </c:numCache>
            </c:numRef>
          </c:yVal>
          <c:smooth val="0"/>
          <c:extLst>
            <c:ext xmlns:c16="http://schemas.microsoft.com/office/drawing/2014/chart" uri="{C3380CC4-5D6E-409C-BE32-E72D297353CC}">
              <c16:uniqueId val="{00000000-B027-479F-AA52-F22A8757D5BB}"/>
            </c:ext>
          </c:extLst>
        </c:ser>
        <c:dLbls>
          <c:showLegendKey val="0"/>
          <c:showVal val="0"/>
          <c:showCatName val="0"/>
          <c:showSerName val="0"/>
          <c:showPercent val="0"/>
          <c:showBubbleSize val="0"/>
        </c:dLbls>
        <c:axId val="705970496"/>
        <c:axId val="705966888"/>
      </c:scatterChart>
      <c:valAx>
        <c:axId val="70597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66888"/>
        <c:crosses val="autoZero"/>
        <c:crossBetween val="midCat"/>
      </c:valAx>
      <c:valAx>
        <c:axId val="70596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970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Dashboard!$N$30</c:f>
          <c:strCache>
            <c:ptCount val="1"/>
            <c:pt idx="0">
              <c:v>Per-Mile Cost of Ownership, BEV, Class 8 Bus, MY2020</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Dashboard!$N$14</c:f>
              <c:strCache>
                <c:ptCount val="1"/>
                <c:pt idx="0">
                  <c:v>Vehicle</c:v>
                </c:pt>
              </c:strCache>
            </c:strRef>
          </c:tx>
          <c:spPr>
            <a:solidFill>
              <a:schemeClr val="accent1"/>
            </a:solidFill>
            <a:ln>
              <a:noFill/>
            </a:ln>
            <a:effectLst/>
          </c:spPr>
          <c:invertIfNegative val="0"/>
          <c:cat>
            <c:strRef>
              <c:f>Dashboard!$O$13</c:f>
              <c:strCache>
                <c:ptCount val="1"/>
                <c:pt idx="0">
                  <c:v>BEV</c:v>
                </c:pt>
              </c:strCache>
            </c:strRef>
          </c:cat>
          <c:val>
            <c:numRef>
              <c:f>Dashboard!$O$14</c:f>
              <c:numCache>
                <c:formatCode>_("$"* #,##0.0000_);_("$"* \(#,##0.0000\);_("$"* "-"??_);_(@_)</c:formatCode>
                <c:ptCount val="1"/>
                <c:pt idx="0">
                  <c:v>0.74667605906716283</c:v>
                </c:pt>
              </c:numCache>
            </c:numRef>
          </c:val>
          <c:extLst>
            <c:ext xmlns:c16="http://schemas.microsoft.com/office/drawing/2014/chart" uri="{C3380CC4-5D6E-409C-BE32-E72D297353CC}">
              <c16:uniqueId val="{00000000-35A9-4414-8641-73008167DB03}"/>
            </c:ext>
          </c:extLst>
        </c:ser>
        <c:ser>
          <c:idx val="1"/>
          <c:order val="1"/>
          <c:tx>
            <c:strRef>
              <c:f>Dashboard!$N$15</c:f>
              <c:strCache>
                <c:ptCount val="1"/>
                <c:pt idx="0">
                  <c:v>Financing</c:v>
                </c:pt>
              </c:strCache>
            </c:strRef>
          </c:tx>
          <c:spPr>
            <a:solidFill>
              <a:schemeClr val="accent2"/>
            </a:solidFill>
            <a:ln>
              <a:noFill/>
            </a:ln>
            <a:effectLst/>
          </c:spPr>
          <c:invertIfNegative val="0"/>
          <c:cat>
            <c:strRef>
              <c:f>Dashboard!$O$13</c:f>
              <c:strCache>
                <c:ptCount val="1"/>
                <c:pt idx="0">
                  <c:v>BEV</c:v>
                </c:pt>
              </c:strCache>
            </c:strRef>
          </c:cat>
          <c:val>
            <c:numRef>
              <c:f>Dashboard!$O$15</c:f>
              <c:numCache>
                <c:formatCode>_("$"* #,##0.0000_);_("$"* \(#,##0.0000\);_("$"* "-"??_);_(@_)</c:formatCode>
                <c:ptCount val="1"/>
                <c:pt idx="0">
                  <c:v>9.2531669407026562E-2</c:v>
                </c:pt>
              </c:numCache>
            </c:numRef>
          </c:val>
          <c:extLst>
            <c:ext xmlns:c16="http://schemas.microsoft.com/office/drawing/2014/chart" uri="{C3380CC4-5D6E-409C-BE32-E72D297353CC}">
              <c16:uniqueId val="{00000001-35A9-4414-8641-73008167DB03}"/>
            </c:ext>
          </c:extLst>
        </c:ser>
        <c:ser>
          <c:idx val="2"/>
          <c:order val="2"/>
          <c:tx>
            <c:strRef>
              <c:f>Dashboard!$N$16</c:f>
              <c:strCache>
                <c:ptCount val="1"/>
                <c:pt idx="0">
                  <c:v>Fuel</c:v>
                </c:pt>
              </c:strCache>
            </c:strRef>
          </c:tx>
          <c:spPr>
            <a:solidFill>
              <a:schemeClr val="accent3"/>
            </a:solidFill>
            <a:ln>
              <a:noFill/>
            </a:ln>
            <a:effectLst/>
          </c:spPr>
          <c:invertIfNegative val="0"/>
          <c:cat>
            <c:strRef>
              <c:f>Dashboard!$O$13</c:f>
              <c:strCache>
                <c:ptCount val="1"/>
                <c:pt idx="0">
                  <c:v>BEV</c:v>
                </c:pt>
              </c:strCache>
            </c:strRef>
          </c:cat>
          <c:val>
            <c:numRef>
              <c:f>Dashboard!$O$16</c:f>
              <c:numCache>
                <c:formatCode>_("$"* #,##0.0000_);_("$"* \(#,##0.0000\);_("$"* "-"??_);_(@_)</c:formatCode>
                <c:ptCount val="1"/>
                <c:pt idx="0">
                  <c:v>0.15620697056069116</c:v>
                </c:pt>
              </c:numCache>
            </c:numRef>
          </c:val>
          <c:extLst>
            <c:ext xmlns:c16="http://schemas.microsoft.com/office/drawing/2014/chart" uri="{C3380CC4-5D6E-409C-BE32-E72D297353CC}">
              <c16:uniqueId val="{00000002-35A9-4414-8641-73008167DB03}"/>
            </c:ext>
          </c:extLst>
        </c:ser>
        <c:ser>
          <c:idx val="3"/>
          <c:order val="3"/>
          <c:tx>
            <c:strRef>
              <c:f>Dashboard!$N$17</c:f>
              <c:strCache>
                <c:ptCount val="1"/>
                <c:pt idx="0">
                  <c:v>Insurance</c:v>
                </c:pt>
              </c:strCache>
            </c:strRef>
          </c:tx>
          <c:spPr>
            <a:solidFill>
              <a:schemeClr val="accent4"/>
            </a:solidFill>
            <a:ln>
              <a:noFill/>
            </a:ln>
            <a:effectLst/>
          </c:spPr>
          <c:invertIfNegative val="0"/>
          <c:cat>
            <c:strRef>
              <c:f>Dashboard!$O$13</c:f>
              <c:strCache>
                <c:ptCount val="1"/>
                <c:pt idx="0">
                  <c:v>BEV</c:v>
                </c:pt>
              </c:strCache>
            </c:strRef>
          </c:cat>
          <c:val>
            <c:numRef>
              <c:f>Dashboard!$O$17</c:f>
              <c:numCache>
                <c:formatCode>_("$"* #,##0.0000_);_("$"* \(#,##0.0000\);_("$"* "-"??_);_(@_)</c:formatCode>
                <c:ptCount val="1"/>
                <c:pt idx="0">
                  <c:v>0.59108297265531018</c:v>
                </c:pt>
              </c:numCache>
            </c:numRef>
          </c:val>
          <c:extLst>
            <c:ext xmlns:c16="http://schemas.microsoft.com/office/drawing/2014/chart" uri="{C3380CC4-5D6E-409C-BE32-E72D297353CC}">
              <c16:uniqueId val="{00000003-35A9-4414-8641-73008167DB03}"/>
            </c:ext>
          </c:extLst>
        </c:ser>
        <c:ser>
          <c:idx val="4"/>
          <c:order val="4"/>
          <c:tx>
            <c:strRef>
              <c:f>Dashboard!$N$18</c:f>
              <c:strCache>
                <c:ptCount val="1"/>
                <c:pt idx="0">
                  <c:v>Taxes &amp; fees</c:v>
                </c:pt>
              </c:strCache>
            </c:strRef>
          </c:tx>
          <c:spPr>
            <a:solidFill>
              <a:schemeClr val="accent5"/>
            </a:solidFill>
            <a:ln>
              <a:noFill/>
            </a:ln>
            <a:effectLst/>
          </c:spPr>
          <c:invertIfNegative val="0"/>
          <c:cat>
            <c:strRef>
              <c:f>Dashboard!$O$13</c:f>
              <c:strCache>
                <c:ptCount val="1"/>
                <c:pt idx="0">
                  <c:v>BEV</c:v>
                </c:pt>
              </c:strCache>
            </c:strRef>
          </c:cat>
          <c:val>
            <c:numRef>
              <c:f>Dashboard!$O$18</c:f>
              <c:numCache>
                <c:formatCode>_("$"* #,##0.0000_);_("$"* \(#,##0.0000\);_("$"* "-"??_);_(@_)</c:formatCode>
                <c:ptCount val="1"/>
                <c:pt idx="0">
                  <c:v>0.2206608179259435</c:v>
                </c:pt>
              </c:numCache>
            </c:numRef>
          </c:val>
          <c:extLst>
            <c:ext xmlns:c16="http://schemas.microsoft.com/office/drawing/2014/chart" uri="{C3380CC4-5D6E-409C-BE32-E72D297353CC}">
              <c16:uniqueId val="{00000004-35A9-4414-8641-73008167DB03}"/>
            </c:ext>
          </c:extLst>
        </c:ser>
        <c:ser>
          <c:idx val="5"/>
          <c:order val="5"/>
          <c:tx>
            <c:strRef>
              <c:f>Dashboard!$N$19</c:f>
              <c:strCache>
                <c:ptCount val="1"/>
                <c:pt idx="0">
                  <c:v>Maintenance</c:v>
                </c:pt>
              </c:strCache>
            </c:strRef>
          </c:tx>
          <c:spPr>
            <a:solidFill>
              <a:schemeClr val="accent6"/>
            </a:solidFill>
            <a:ln>
              <a:noFill/>
            </a:ln>
            <a:effectLst/>
          </c:spPr>
          <c:invertIfNegative val="0"/>
          <c:cat>
            <c:strRef>
              <c:f>Dashboard!$O$13</c:f>
              <c:strCache>
                <c:ptCount val="1"/>
                <c:pt idx="0">
                  <c:v>BEV</c:v>
                </c:pt>
              </c:strCache>
            </c:strRef>
          </c:cat>
          <c:val>
            <c:numRef>
              <c:f>Dashboard!$O$19</c:f>
              <c:numCache>
                <c:formatCode>_("$"* #,##0.0000_);_("$"* \(#,##0.0000\);_("$"* "-"??_);_(@_)</c:formatCode>
                <c:ptCount val="1"/>
                <c:pt idx="0">
                  <c:v>0.61848807231233827</c:v>
                </c:pt>
              </c:numCache>
            </c:numRef>
          </c:val>
          <c:extLst>
            <c:ext xmlns:c16="http://schemas.microsoft.com/office/drawing/2014/chart" uri="{C3380CC4-5D6E-409C-BE32-E72D297353CC}">
              <c16:uniqueId val="{00000005-35A9-4414-8641-73008167DB03}"/>
            </c:ext>
          </c:extLst>
        </c:ser>
        <c:ser>
          <c:idx val="6"/>
          <c:order val="6"/>
          <c:tx>
            <c:strRef>
              <c:f>Dashboard!$N$20</c:f>
              <c:strCache>
                <c:ptCount val="1"/>
                <c:pt idx="0">
                  <c:v>Repair</c:v>
                </c:pt>
              </c:strCache>
            </c:strRef>
          </c:tx>
          <c:spPr>
            <a:solidFill>
              <a:schemeClr val="accent1">
                <a:lumMod val="60000"/>
              </a:schemeClr>
            </a:solidFill>
            <a:ln>
              <a:noFill/>
            </a:ln>
            <a:effectLst/>
          </c:spPr>
          <c:invertIfNegative val="0"/>
          <c:cat>
            <c:strRef>
              <c:f>Dashboard!$O$13</c:f>
              <c:strCache>
                <c:ptCount val="1"/>
                <c:pt idx="0">
                  <c:v>BEV</c:v>
                </c:pt>
              </c:strCache>
            </c:strRef>
          </c:cat>
          <c:val>
            <c:numRef>
              <c:f>Dashboard!$O$20</c:f>
              <c:numCache>
                <c:formatCode>_("$"* #,##0.0000_);_("$"* \(#,##0.0000\);_("$"* "-"??_);_(@_)</c:formatCode>
                <c:ptCount val="1"/>
                <c:pt idx="0">
                  <c:v>0</c:v>
                </c:pt>
              </c:numCache>
            </c:numRef>
          </c:val>
          <c:extLst>
            <c:ext xmlns:c16="http://schemas.microsoft.com/office/drawing/2014/chart" uri="{C3380CC4-5D6E-409C-BE32-E72D297353CC}">
              <c16:uniqueId val="{00000006-35A9-4414-8641-73008167DB03}"/>
            </c:ext>
          </c:extLst>
        </c:ser>
        <c:ser>
          <c:idx val="7"/>
          <c:order val="7"/>
          <c:tx>
            <c:strRef>
              <c:f>Dashboard!$N$21</c:f>
              <c:strCache>
                <c:ptCount val="1"/>
                <c:pt idx="0">
                  <c:v>Operational</c:v>
                </c:pt>
              </c:strCache>
            </c:strRef>
          </c:tx>
          <c:spPr>
            <a:solidFill>
              <a:schemeClr val="accent2">
                <a:lumMod val="60000"/>
              </a:schemeClr>
            </a:solidFill>
            <a:ln>
              <a:noFill/>
            </a:ln>
            <a:effectLst/>
          </c:spPr>
          <c:invertIfNegative val="0"/>
          <c:cat>
            <c:strRef>
              <c:f>Dashboard!$O$13</c:f>
              <c:strCache>
                <c:ptCount val="1"/>
                <c:pt idx="0">
                  <c:v>BEV</c:v>
                </c:pt>
              </c:strCache>
            </c:strRef>
          </c:cat>
          <c:val>
            <c:numRef>
              <c:f>Dashboard!$O$21</c:f>
              <c:numCache>
                <c:formatCode>_("$"* #,##0.0000_);_("$"* \(#,##0.0000\);_("$"* "-"??_);_(@_)</c:formatCode>
                <c:ptCount val="1"/>
                <c:pt idx="0">
                  <c:v>2.5731029939009945E-2</c:v>
                </c:pt>
              </c:numCache>
            </c:numRef>
          </c:val>
          <c:extLst>
            <c:ext xmlns:c16="http://schemas.microsoft.com/office/drawing/2014/chart" uri="{C3380CC4-5D6E-409C-BE32-E72D297353CC}">
              <c16:uniqueId val="{00000007-35A9-4414-8641-73008167DB03}"/>
            </c:ext>
          </c:extLst>
        </c:ser>
        <c:ser>
          <c:idx val="9"/>
          <c:order val="8"/>
          <c:tx>
            <c:strRef>
              <c:f>Dashboard!$N$22</c:f>
              <c:strCache>
                <c:ptCount val="1"/>
                <c:pt idx="0">
                  <c:v>Labor</c:v>
                </c:pt>
              </c:strCache>
            </c:strRef>
          </c:tx>
          <c:spPr>
            <a:solidFill>
              <a:schemeClr val="accent4">
                <a:lumMod val="60000"/>
              </a:schemeClr>
            </a:solidFill>
            <a:ln>
              <a:noFill/>
            </a:ln>
            <a:effectLst/>
          </c:spPr>
          <c:invertIfNegative val="0"/>
          <c:cat>
            <c:strRef>
              <c:f>Dashboard!$O$13</c:f>
              <c:strCache>
                <c:ptCount val="1"/>
                <c:pt idx="0">
                  <c:v>BEV</c:v>
                </c:pt>
              </c:strCache>
            </c:strRef>
          </c:cat>
          <c:val>
            <c:numRef>
              <c:f>Dashboard!$O$22</c:f>
              <c:numCache>
                <c:formatCode>_("$"* #,##0.0000_);_("$"* \(#,##0.0000\);_("$"* "-"??_);_(@_)</c:formatCode>
                <c:ptCount val="1"/>
                <c:pt idx="0">
                  <c:v>2.002081774229167</c:v>
                </c:pt>
              </c:numCache>
            </c:numRef>
          </c:val>
          <c:extLst>
            <c:ext xmlns:c16="http://schemas.microsoft.com/office/drawing/2014/chart" uri="{C3380CC4-5D6E-409C-BE32-E72D297353CC}">
              <c16:uniqueId val="{00000008-35A9-4414-8641-73008167DB03}"/>
            </c:ext>
          </c:extLst>
        </c:ser>
        <c:dLbls>
          <c:showLegendKey val="0"/>
          <c:showVal val="0"/>
          <c:showCatName val="0"/>
          <c:showSerName val="0"/>
          <c:showPercent val="0"/>
          <c:showBubbleSize val="0"/>
        </c:dLbls>
        <c:gapWidth val="150"/>
        <c:overlap val="100"/>
        <c:axId val="719907416"/>
        <c:axId val="719909056"/>
      </c:barChart>
      <c:catAx>
        <c:axId val="719907416"/>
        <c:scaling>
          <c:orientation val="minMax"/>
        </c:scaling>
        <c:delete val="1"/>
        <c:axPos val="b"/>
        <c:numFmt formatCode="General" sourceLinked="1"/>
        <c:majorTickMark val="none"/>
        <c:minorTickMark val="none"/>
        <c:tickLblPos val="nextTo"/>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Dashboard!$N$29</c:f>
          <c:strCache>
            <c:ptCount val="1"/>
            <c:pt idx="0">
              <c:v>Total Cost of Ownership, BEV, Class 8 Bus, MY2020</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Dashboard!$N$3</c:f>
              <c:strCache>
                <c:ptCount val="1"/>
                <c:pt idx="0">
                  <c:v>Vehicle</c:v>
                </c:pt>
              </c:strCache>
            </c:strRef>
          </c:tx>
          <c:spPr>
            <a:solidFill>
              <a:schemeClr val="accent1"/>
            </a:solidFill>
            <a:ln>
              <a:noFill/>
            </a:ln>
            <a:effectLst/>
          </c:spPr>
          <c:invertIfNegative val="0"/>
          <c:cat>
            <c:strRef>
              <c:f>Dashboard!$O$2</c:f>
              <c:strCache>
                <c:ptCount val="1"/>
                <c:pt idx="0">
                  <c:v>BEV</c:v>
                </c:pt>
              </c:strCache>
            </c:strRef>
          </c:cat>
          <c:val>
            <c:numRef>
              <c:f>Dashboard!$O$3</c:f>
              <c:numCache>
                <c:formatCode>"$"#,##0</c:formatCode>
                <c:ptCount val="1"/>
                <c:pt idx="0">
                  <c:v>358472.63679710939</c:v>
                </c:pt>
              </c:numCache>
            </c:numRef>
          </c:val>
          <c:extLst>
            <c:ext xmlns:c16="http://schemas.microsoft.com/office/drawing/2014/chart" uri="{C3380CC4-5D6E-409C-BE32-E72D297353CC}">
              <c16:uniqueId val="{00000000-619A-4D9C-9465-F5EFA215DA37}"/>
            </c:ext>
          </c:extLst>
        </c:ser>
        <c:ser>
          <c:idx val="1"/>
          <c:order val="1"/>
          <c:tx>
            <c:strRef>
              <c:f>Dashboard!$N$4</c:f>
              <c:strCache>
                <c:ptCount val="1"/>
                <c:pt idx="0">
                  <c:v>Financing</c:v>
                </c:pt>
              </c:strCache>
            </c:strRef>
          </c:tx>
          <c:spPr>
            <a:solidFill>
              <a:schemeClr val="accent2"/>
            </a:solidFill>
            <a:ln>
              <a:noFill/>
            </a:ln>
            <a:effectLst/>
          </c:spPr>
          <c:invertIfNegative val="0"/>
          <c:cat>
            <c:strRef>
              <c:f>Dashboard!$O$2</c:f>
              <c:strCache>
                <c:ptCount val="1"/>
                <c:pt idx="0">
                  <c:v>BEV</c:v>
                </c:pt>
              </c:strCache>
            </c:strRef>
          </c:cat>
          <c:val>
            <c:numRef>
              <c:f>Dashboard!$O$4</c:f>
              <c:numCache>
                <c:formatCode>"$"#,##0</c:formatCode>
                <c:ptCount val="1"/>
                <c:pt idx="0">
                  <c:v>44423.644118193981</c:v>
                </c:pt>
              </c:numCache>
            </c:numRef>
          </c:val>
          <c:extLst>
            <c:ext xmlns:c16="http://schemas.microsoft.com/office/drawing/2014/chart" uri="{C3380CC4-5D6E-409C-BE32-E72D297353CC}">
              <c16:uniqueId val="{00000001-619A-4D9C-9465-F5EFA215DA37}"/>
            </c:ext>
          </c:extLst>
        </c:ser>
        <c:ser>
          <c:idx val="2"/>
          <c:order val="2"/>
          <c:tx>
            <c:strRef>
              <c:f>Dashboard!$N$5</c:f>
              <c:strCache>
                <c:ptCount val="1"/>
                <c:pt idx="0">
                  <c:v>Fuel</c:v>
                </c:pt>
              </c:strCache>
            </c:strRef>
          </c:tx>
          <c:spPr>
            <a:solidFill>
              <a:schemeClr val="accent3"/>
            </a:solidFill>
            <a:ln>
              <a:noFill/>
            </a:ln>
            <a:effectLst/>
          </c:spPr>
          <c:invertIfNegative val="0"/>
          <c:cat>
            <c:strRef>
              <c:f>Dashboard!$O$2</c:f>
              <c:strCache>
                <c:ptCount val="1"/>
                <c:pt idx="0">
                  <c:v>BEV</c:v>
                </c:pt>
              </c:strCache>
            </c:strRef>
          </c:cat>
          <c:val>
            <c:numRef>
              <c:f>Dashboard!$O$5</c:f>
              <c:numCache>
                <c:formatCode>"$"#,##0</c:formatCode>
                <c:ptCount val="1"/>
                <c:pt idx="0">
                  <c:v>74993.598553214921</c:v>
                </c:pt>
              </c:numCache>
            </c:numRef>
          </c:val>
          <c:extLst>
            <c:ext xmlns:c16="http://schemas.microsoft.com/office/drawing/2014/chart" uri="{C3380CC4-5D6E-409C-BE32-E72D297353CC}">
              <c16:uniqueId val="{00000002-619A-4D9C-9465-F5EFA215DA37}"/>
            </c:ext>
          </c:extLst>
        </c:ser>
        <c:ser>
          <c:idx val="3"/>
          <c:order val="3"/>
          <c:tx>
            <c:strRef>
              <c:f>Dashboard!$N$6</c:f>
              <c:strCache>
                <c:ptCount val="1"/>
                <c:pt idx="0">
                  <c:v>Insurance</c:v>
                </c:pt>
              </c:strCache>
            </c:strRef>
          </c:tx>
          <c:spPr>
            <a:solidFill>
              <a:schemeClr val="accent4"/>
            </a:solidFill>
            <a:ln>
              <a:noFill/>
            </a:ln>
            <a:effectLst/>
          </c:spPr>
          <c:invertIfNegative val="0"/>
          <c:cat>
            <c:strRef>
              <c:f>Dashboard!$O$2</c:f>
              <c:strCache>
                <c:ptCount val="1"/>
                <c:pt idx="0">
                  <c:v>BEV</c:v>
                </c:pt>
              </c:strCache>
            </c:strRef>
          </c:cat>
          <c:val>
            <c:numRef>
              <c:f>Dashboard!$O$6</c:f>
              <c:numCache>
                <c:formatCode>"$"#,##0</c:formatCode>
                <c:ptCount val="1"/>
                <c:pt idx="0">
                  <c:v>283773.75864754181</c:v>
                </c:pt>
              </c:numCache>
            </c:numRef>
          </c:val>
          <c:extLst>
            <c:ext xmlns:c16="http://schemas.microsoft.com/office/drawing/2014/chart" uri="{C3380CC4-5D6E-409C-BE32-E72D297353CC}">
              <c16:uniqueId val="{00000003-619A-4D9C-9465-F5EFA215DA37}"/>
            </c:ext>
          </c:extLst>
        </c:ser>
        <c:ser>
          <c:idx val="4"/>
          <c:order val="4"/>
          <c:tx>
            <c:strRef>
              <c:f>Dashboard!$N$7</c:f>
              <c:strCache>
                <c:ptCount val="1"/>
                <c:pt idx="0">
                  <c:v>Taxes &amp; fees</c:v>
                </c:pt>
              </c:strCache>
            </c:strRef>
          </c:tx>
          <c:spPr>
            <a:solidFill>
              <a:schemeClr val="accent5"/>
            </a:solidFill>
            <a:ln>
              <a:noFill/>
            </a:ln>
            <a:effectLst/>
          </c:spPr>
          <c:invertIfNegative val="0"/>
          <c:cat>
            <c:strRef>
              <c:f>Dashboard!$O$2</c:f>
              <c:strCache>
                <c:ptCount val="1"/>
                <c:pt idx="0">
                  <c:v>BEV</c:v>
                </c:pt>
              </c:strCache>
            </c:strRef>
          </c:cat>
          <c:val>
            <c:numRef>
              <c:f>Dashboard!$O$7</c:f>
              <c:numCache>
                <c:formatCode>"$"#,##0</c:formatCode>
                <c:ptCount val="1"/>
                <c:pt idx="0">
                  <c:v>105937.32620614902</c:v>
                </c:pt>
              </c:numCache>
            </c:numRef>
          </c:val>
          <c:extLst>
            <c:ext xmlns:c16="http://schemas.microsoft.com/office/drawing/2014/chart" uri="{C3380CC4-5D6E-409C-BE32-E72D297353CC}">
              <c16:uniqueId val="{00000004-619A-4D9C-9465-F5EFA215DA37}"/>
            </c:ext>
          </c:extLst>
        </c:ser>
        <c:ser>
          <c:idx val="5"/>
          <c:order val="5"/>
          <c:tx>
            <c:strRef>
              <c:f>Dashboard!$N$8</c:f>
              <c:strCache>
                <c:ptCount val="1"/>
                <c:pt idx="0">
                  <c:v>Maintenance</c:v>
                </c:pt>
              </c:strCache>
            </c:strRef>
          </c:tx>
          <c:spPr>
            <a:solidFill>
              <a:schemeClr val="accent6"/>
            </a:solidFill>
            <a:ln>
              <a:noFill/>
            </a:ln>
            <a:effectLst/>
          </c:spPr>
          <c:invertIfNegative val="0"/>
          <c:cat>
            <c:strRef>
              <c:f>Dashboard!$O$2</c:f>
              <c:strCache>
                <c:ptCount val="1"/>
                <c:pt idx="0">
                  <c:v>BEV</c:v>
                </c:pt>
              </c:strCache>
            </c:strRef>
          </c:cat>
          <c:val>
            <c:numRef>
              <c:f>Dashboard!$O$8</c:f>
              <c:numCache>
                <c:formatCode>"$"#,##0</c:formatCode>
                <c:ptCount val="1"/>
                <c:pt idx="0">
                  <c:v>296930.70698738238</c:v>
                </c:pt>
              </c:numCache>
            </c:numRef>
          </c:val>
          <c:extLst>
            <c:ext xmlns:c16="http://schemas.microsoft.com/office/drawing/2014/chart" uri="{C3380CC4-5D6E-409C-BE32-E72D297353CC}">
              <c16:uniqueId val="{00000005-619A-4D9C-9465-F5EFA215DA37}"/>
            </c:ext>
          </c:extLst>
        </c:ser>
        <c:ser>
          <c:idx val="6"/>
          <c:order val="6"/>
          <c:tx>
            <c:strRef>
              <c:f>Dashboard!$N$9</c:f>
              <c:strCache>
                <c:ptCount val="1"/>
                <c:pt idx="0">
                  <c:v>Repair</c:v>
                </c:pt>
              </c:strCache>
            </c:strRef>
          </c:tx>
          <c:spPr>
            <a:solidFill>
              <a:schemeClr val="accent1">
                <a:lumMod val="60000"/>
              </a:schemeClr>
            </a:solidFill>
            <a:ln>
              <a:noFill/>
            </a:ln>
            <a:effectLst/>
          </c:spPr>
          <c:invertIfNegative val="0"/>
          <c:cat>
            <c:strRef>
              <c:f>Dashboard!$O$2</c:f>
              <c:strCache>
                <c:ptCount val="1"/>
                <c:pt idx="0">
                  <c:v>BEV</c:v>
                </c:pt>
              </c:strCache>
            </c:strRef>
          </c:cat>
          <c:val>
            <c:numRef>
              <c:f>Dashboard!$O$9</c:f>
              <c:numCache>
                <c:formatCode>"$"#,##0</c:formatCode>
                <c:ptCount val="1"/>
                <c:pt idx="0">
                  <c:v>0</c:v>
                </c:pt>
              </c:numCache>
            </c:numRef>
          </c:val>
          <c:extLst>
            <c:ext xmlns:c16="http://schemas.microsoft.com/office/drawing/2014/chart" uri="{C3380CC4-5D6E-409C-BE32-E72D297353CC}">
              <c16:uniqueId val="{00000006-619A-4D9C-9465-F5EFA215DA37}"/>
            </c:ext>
          </c:extLst>
        </c:ser>
        <c:ser>
          <c:idx val="7"/>
          <c:order val="7"/>
          <c:tx>
            <c:strRef>
              <c:f>Dashboard!$N$10</c:f>
              <c:strCache>
                <c:ptCount val="1"/>
                <c:pt idx="0">
                  <c:v>Operational</c:v>
                </c:pt>
              </c:strCache>
            </c:strRef>
          </c:tx>
          <c:spPr>
            <a:solidFill>
              <a:schemeClr val="accent2">
                <a:lumMod val="60000"/>
              </a:schemeClr>
            </a:solidFill>
            <a:ln>
              <a:noFill/>
            </a:ln>
            <a:effectLst/>
          </c:spPr>
          <c:invertIfNegative val="0"/>
          <c:cat>
            <c:strRef>
              <c:f>Dashboard!$O$2</c:f>
              <c:strCache>
                <c:ptCount val="1"/>
                <c:pt idx="0">
                  <c:v>BEV</c:v>
                </c:pt>
              </c:strCache>
            </c:strRef>
          </c:cat>
          <c:val>
            <c:numRef>
              <c:f>Dashboard!$O$10</c:f>
              <c:numCache>
                <c:formatCode>"$"#,##0</c:formatCode>
                <c:ptCount val="1"/>
                <c:pt idx="0">
                  <c:v>12353.242129211727</c:v>
                </c:pt>
              </c:numCache>
            </c:numRef>
          </c:val>
          <c:extLst>
            <c:ext xmlns:c16="http://schemas.microsoft.com/office/drawing/2014/chart" uri="{C3380CC4-5D6E-409C-BE32-E72D297353CC}">
              <c16:uniqueId val="{00000007-619A-4D9C-9465-F5EFA215DA37}"/>
            </c:ext>
          </c:extLst>
        </c:ser>
        <c:ser>
          <c:idx val="9"/>
          <c:order val="8"/>
          <c:tx>
            <c:strRef>
              <c:f>Dashboard!$N$11</c:f>
              <c:strCache>
                <c:ptCount val="1"/>
                <c:pt idx="0">
                  <c:v>Labor</c:v>
                </c:pt>
              </c:strCache>
            </c:strRef>
          </c:tx>
          <c:spPr>
            <a:solidFill>
              <a:schemeClr val="accent4">
                <a:lumMod val="60000"/>
              </a:schemeClr>
            </a:solidFill>
            <a:ln>
              <a:noFill/>
            </a:ln>
            <a:effectLst/>
          </c:spPr>
          <c:invertIfNegative val="0"/>
          <c:cat>
            <c:strRef>
              <c:f>Dashboard!$O$2</c:f>
              <c:strCache>
                <c:ptCount val="1"/>
                <c:pt idx="0">
                  <c:v>BEV</c:v>
                </c:pt>
              </c:strCache>
            </c:strRef>
          </c:cat>
          <c:val>
            <c:numRef>
              <c:f>Dashboard!$O$11</c:f>
              <c:numCache>
                <c:formatCode>"$"#,##0</c:formatCode>
                <c:ptCount val="1"/>
                <c:pt idx="0">
                  <c:v>961181.92618629115</c:v>
                </c:pt>
              </c:numCache>
            </c:numRef>
          </c:val>
          <c:extLst>
            <c:ext xmlns:c16="http://schemas.microsoft.com/office/drawing/2014/chart" uri="{C3380CC4-5D6E-409C-BE32-E72D297353CC}">
              <c16:uniqueId val="{00000008-619A-4D9C-9465-F5EFA215DA37}"/>
            </c:ext>
          </c:extLst>
        </c:ser>
        <c:dLbls>
          <c:showLegendKey val="0"/>
          <c:showVal val="0"/>
          <c:showCatName val="0"/>
          <c:showSerName val="0"/>
          <c:showPercent val="0"/>
          <c:showBubbleSize val="0"/>
        </c:dLbls>
        <c:gapWidth val="150"/>
        <c:overlap val="100"/>
        <c:axId val="719907416"/>
        <c:axId val="719909056"/>
      </c:barChart>
      <c:catAx>
        <c:axId val="719907416"/>
        <c:scaling>
          <c:orientation val="minMax"/>
        </c:scaling>
        <c:delete val="1"/>
        <c:axPos val="b"/>
        <c:numFmt formatCode="General" sourceLinked="1"/>
        <c:majorTickMark val="none"/>
        <c:minorTickMark val="none"/>
        <c:tickLblPos val="nextTo"/>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Dashboard!$N$25</c:f>
          <c:strCache>
            <c:ptCount val="1"/>
            <c:pt idx="0">
              <c:v>Non-discounted Cash Flow,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Dashboard!$B$35</c:f>
              <c:strCache>
                <c:ptCount val="1"/>
                <c:pt idx="0">
                  <c:v>Vehicle</c:v>
                </c:pt>
              </c:strCache>
            </c:strRef>
          </c:tx>
          <c:spPr>
            <a:solidFill>
              <a:schemeClr val="accent1"/>
            </a:solidFill>
            <a:ln>
              <a:noFill/>
            </a:ln>
            <a:effectLst/>
          </c:spPr>
          <c:invertIfNegative val="0"/>
          <c:val>
            <c:numRef>
              <c:f>Dashboard!$C$35:$AF$35</c:f>
              <c:numCache>
                <c:formatCode>"$"#,##0</c:formatCode>
                <c:ptCount val="30"/>
                <c:pt idx="0">
                  <c:v>149135.258129058</c:v>
                </c:pt>
                <c:pt idx="1">
                  <c:v>90672.391009052997</c:v>
                </c:pt>
                <c:pt idx="2">
                  <c:v>90672.391009052997</c:v>
                </c:pt>
                <c:pt idx="3">
                  <c:v>90672.391009052997</c:v>
                </c:pt>
                <c:pt idx="4">
                  <c:v>90672.391009052997</c:v>
                </c:pt>
                <c:pt idx="5">
                  <c:v>22668.097752263249</c:v>
                </c:pt>
                <c:pt idx="6">
                  <c:v>0</c:v>
                </c:pt>
                <c:pt idx="7">
                  <c:v>0</c:v>
                </c:pt>
                <c:pt idx="8">
                  <c:v>0</c:v>
                </c:pt>
                <c:pt idx="9">
                  <c:v>-201584.98650546934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BE46-4D0B-A1DE-37C93AF83666}"/>
            </c:ext>
          </c:extLst>
        </c:ser>
        <c:ser>
          <c:idx val="1"/>
          <c:order val="1"/>
          <c:tx>
            <c:strRef>
              <c:f>Dashboard!$B$36</c:f>
              <c:strCache>
                <c:ptCount val="1"/>
                <c:pt idx="0">
                  <c:v>Financing</c:v>
                </c:pt>
              </c:strCache>
            </c:strRef>
          </c:tx>
          <c:spPr>
            <a:solidFill>
              <a:schemeClr val="accent2"/>
            </a:solidFill>
            <a:ln>
              <a:noFill/>
            </a:ln>
            <a:effectLst/>
          </c:spPr>
          <c:invertIfNegative val="0"/>
          <c:val>
            <c:numRef>
              <c:f>Dashboard!$C$36:$AF$36</c:f>
              <c:numCache>
                <c:formatCode>"$"#,##0</c:formatCode>
                <c:ptCount val="30"/>
                <c:pt idx="0">
                  <c:v>15786.090933882107</c:v>
                </c:pt>
                <c:pt idx="1">
                  <c:v>12735.107525265281</c:v>
                </c:pt>
                <c:pt idx="2">
                  <c:v>9559.8223451587401</c:v>
                </c:pt>
                <c:pt idx="3">
                  <c:v>6255.1711476042983</c:v>
                </c:pt>
                <c:pt idx="4">
                  <c:v>2815.8833614497707</c:v>
                </c:pt>
                <c:pt idx="5">
                  <c:v>150.28527079805281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BE46-4D0B-A1DE-37C93AF83666}"/>
            </c:ext>
          </c:extLst>
        </c:ser>
        <c:ser>
          <c:idx val="2"/>
          <c:order val="2"/>
          <c:tx>
            <c:strRef>
              <c:f>Dashboard!$B$37</c:f>
              <c:strCache>
                <c:ptCount val="1"/>
                <c:pt idx="0">
                  <c:v>Fuel</c:v>
                </c:pt>
              </c:strCache>
            </c:strRef>
          </c:tx>
          <c:spPr>
            <a:solidFill>
              <a:schemeClr val="accent3"/>
            </a:solidFill>
            <a:ln>
              <a:noFill/>
            </a:ln>
            <a:effectLst/>
          </c:spPr>
          <c:invertIfNegative val="0"/>
          <c:val>
            <c:numRef>
              <c:f>Dashboard!$C$37:$AF$37</c:f>
              <c:numCache>
                <c:formatCode>"$"#,##0</c:formatCode>
                <c:ptCount val="30"/>
                <c:pt idx="0">
                  <c:v>11565.449659918078</c:v>
                </c:pt>
                <c:pt idx="1">
                  <c:v>11477.937535128354</c:v>
                </c:pt>
                <c:pt idx="2">
                  <c:v>11177.500904984699</c:v>
                </c:pt>
                <c:pt idx="3">
                  <c:v>10696.345148099797</c:v>
                </c:pt>
                <c:pt idx="4">
                  <c:v>9594.9925362714985</c:v>
                </c:pt>
                <c:pt idx="5">
                  <c:v>8607.0410496674085</c:v>
                </c:pt>
                <c:pt idx="6">
                  <c:v>7720.8143050257031</c:v>
                </c:pt>
                <c:pt idx="7">
                  <c:v>6925.8381816353731</c:v>
                </c:pt>
                <c:pt idx="8">
                  <c:v>6212.717029986733</c:v>
                </c:pt>
                <c:pt idx="9">
                  <c:v>5573.0226266379796</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BE46-4D0B-A1DE-37C93AF83666}"/>
            </c:ext>
          </c:extLst>
        </c:ser>
        <c:ser>
          <c:idx val="3"/>
          <c:order val="3"/>
          <c:tx>
            <c:strRef>
              <c:f>Dashboard!$B$38</c:f>
              <c:strCache>
                <c:ptCount val="1"/>
                <c:pt idx="0">
                  <c:v>Insurance</c:v>
                </c:pt>
              </c:strCache>
            </c:strRef>
          </c:tx>
          <c:spPr>
            <a:solidFill>
              <a:schemeClr val="accent4"/>
            </a:solidFill>
            <a:ln>
              <a:noFill/>
            </a:ln>
            <a:effectLst/>
          </c:spPr>
          <c:invertIfNegative val="0"/>
          <c:val>
            <c:numRef>
              <c:f>Dashboard!$C$38:$AF$38</c:f>
              <c:numCache>
                <c:formatCode>"$"#,##0</c:formatCode>
                <c:ptCount val="30"/>
                <c:pt idx="0">
                  <c:v>35000</c:v>
                </c:pt>
                <c:pt idx="1">
                  <c:v>35000</c:v>
                </c:pt>
                <c:pt idx="2">
                  <c:v>35000</c:v>
                </c:pt>
                <c:pt idx="3">
                  <c:v>35000</c:v>
                </c:pt>
                <c:pt idx="4">
                  <c:v>35000</c:v>
                </c:pt>
                <c:pt idx="5">
                  <c:v>35000</c:v>
                </c:pt>
                <c:pt idx="6">
                  <c:v>35000</c:v>
                </c:pt>
                <c:pt idx="7">
                  <c:v>35000</c:v>
                </c:pt>
                <c:pt idx="8">
                  <c:v>35000</c:v>
                </c:pt>
                <c:pt idx="9">
                  <c:v>35000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3-BE46-4D0B-A1DE-37C93AF83666}"/>
            </c:ext>
          </c:extLst>
        </c:ser>
        <c:ser>
          <c:idx val="4"/>
          <c:order val="4"/>
          <c:tx>
            <c:strRef>
              <c:f>Dashboard!$B$39</c:f>
              <c:strCache>
                <c:ptCount val="1"/>
                <c:pt idx="0">
                  <c:v>Taxes &amp; fees</c:v>
                </c:pt>
              </c:strCache>
            </c:strRef>
          </c:tx>
          <c:spPr>
            <a:solidFill>
              <a:schemeClr val="accent5"/>
            </a:solidFill>
            <a:ln>
              <a:noFill/>
            </a:ln>
            <a:effectLst/>
          </c:spPr>
          <c:invertIfNegative val="0"/>
          <c:val>
            <c:numRef>
              <c:f>Dashboard!$C$39:$AF$39</c:f>
              <c:numCache>
                <c:formatCode>"$"#,##0</c:formatCode>
                <c:ptCount val="30"/>
                <c:pt idx="0">
                  <c:v>104359.38979415604</c:v>
                </c:pt>
                <c:pt idx="1">
                  <c:v>222</c:v>
                </c:pt>
                <c:pt idx="2">
                  <c:v>222</c:v>
                </c:pt>
                <c:pt idx="3">
                  <c:v>222</c:v>
                </c:pt>
                <c:pt idx="4">
                  <c:v>222</c:v>
                </c:pt>
                <c:pt idx="5">
                  <c:v>222</c:v>
                </c:pt>
                <c:pt idx="6">
                  <c:v>222</c:v>
                </c:pt>
                <c:pt idx="7">
                  <c:v>222</c:v>
                </c:pt>
                <c:pt idx="8">
                  <c:v>222</c:v>
                </c:pt>
                <c:pt idx="9">
                  <c:v>222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BE46-4D0B-A1DE-37C93AF83666}"/>
            </c:ext>
          </c:extLst>
        </c:ser>
        <c:ser>
          <c:idx val="5"/>
          <c:order val="5"/>
          <c:tx>
            <c:strRef>
              <c:f>Dashboard!$B$40</c:f>
              <c:strCache>
                <c:ptCount val="1"/>
                <c:pt idx="0">
                  <c:v>Maintenance</c:v>
                </c:pt>
              </c:strCache>
            </c:strRef>
          </c:tx>
          <c:spPr>
            <a:solidFill>
              <a:schemeClr val="accent6"/>
            </a:solidFill>
            <a:ln>
              <a:noFill/>
            </a:ln>
            <a:effectLst/>
          </c:spPr>
          <c:invertIfNegative val="0"/>
          <c:val>
            <c:numRef>
              <c:f>Dashboard!$C$40:$AF$40</c:f>
              <c:numCache>
                <c:formatCode>"$"#,##0</c:formatCode>
                <c:ptCount val="30"/>
                <c:pt idx="0">
                  <c:v>27680.332823461667</c:v>
                </c:pt>
                <c:pt idx="1">
                  <c:v>30261.220566406901</c:v>
                </c:pt>
                <c:pt idx="2">
                  <c:v>32095.929495202425</c:v>
                </c:pt>
                <c:pt idx="3">
                  <c:v>38466.267943635161</c:v>
                </c:pt>
                <c:pt idx="4">
                  <c:v>40354.403463353505</c:v>
                </c:pt>
                <c:pt idx="5">
                  <c:v>39330.131179694064</c:v>
                </c:pt>
                <c:pt idx="6">
                  <c:v>40176.9998261781</c:v>
                </c:pt>
                <c:pt idx="7">
                  <c:v>40567.150198495016</c:v>
                </c:pt>
                <c:pt idx="8">
                  <c:v>40646.803228155441</c:v>
                </c:pt>
                <c:pt idx="9">
                  <c:v>43051.49632571471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5-BE46-4D0B-A1DE-37C93AF83666}"/>
            </c:ext>
          </c:extLst>
        </c:ser>
        <c:ser>
          <c:idx val="6"/>
          <c:order val="6"/>
          <c:tx>
            <c:strRef>
              <c:f>Dashboard!$B$41</c:f>
              <c:strCache>
                <c:ptCount val="1"/>
                <c:pt idx="0">
                  <c:v>Repair</c:v>
                </c:pt>
              </c:strCache>
            </c:strRef>
          </c:tx>
          <c:spPr>
            <a:solidFill>
              <a:schemeClr val="accent1">
                <a:lumMod val="60000"/>
              </a:schemeClr>
            </a:solidFill>
            <a:ln>
              <a:noFill/>
            </a:ln>
            <a:effectLst/>
          </c:spPr>
          <c:invertIfNegative val="0"/>
          <c:val>
            <c:numRef>
              <c:f>Dashboard!$C$41:$AF$41</c:f>
              <c:numCache>
                <c:formatCode>"$"#,##0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BE46-4D0B-A1DE-37C93AF83666}"/>
            </c:ext>
          </c:extLst>
        </c:ser>
        <c:ser>
          <c:idx val="7"/>
          <c:order val="7"/>
          <c:tx>
            <c:strRef>
              <c:f>Dashboard!$B$42</c:f>
              <c:strCache>
                <c:ptCount val="1"/>
                <c:pt idx="0">
                  <c:v>Operational</c:v>
                </c:pt>
              </c:strCache>
            </c:strRef>
          </c:tx>
          <c:spPr>
            <a:solidFill>
              <a:schemeClr val="accent2">
                <a:lumMod val="60000"/>
              </a:schemeClr>
            </a:solidFill>
            <a:ln>
              <a:noFill/>
            </a:ln>
            <a:effectLst/>
          </c:spPr>
          <c:invertIfNegative val="0"/>
          <c:val>
            <c:numRef>
              <c:f>Dashboard!$C$42:$AF$42</c:f>
              <c:numCache>
                <c:formatCode>"$"#,##0</c:formatCode>
                <c:ptCount val="30"/>
                <c:pt idx="0">
                  <c:v>1905.1066056097754</c:v>
                </c:pt>
                <c:pt idx="1">
                  <c:v>1890.6912623321466</c:v>
                </c:pt>
                <c:pt idx="2">
                  <c:v>1841.2021524847851</c:v>
                </c:pt>
                <c:pt idx="3">
                  <c:v>1761.9442733946701</c:v>
                </c:pt>
                <c:pt idx="4">
                  <c:v>1580.5251156794886</c:v>
                </c:pt>
                <c:pt idx="5">
                  <c:v>1417.7858397761615</c:v>
                </c:pt>
                <c:pt idx="6">
                  <c:v>1271.8030656574665</c:v>
                </c:pt>
                <c:pt idx="7">
                  <c:v>1140.8514547381121</c:v>
                </c:pt>
                <c:pt idx="8">
                  <c:v>1023.3833184740962</c:v>
                </c:pt>
                <c:pt idx="9">
                  <c:v>918.0103265691755</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7-BE46-4D0B-A1DE-37C93AF83666}"/>
            </c:ext>
          </c:extLst>
        </c:ser>
        <c:ser>
          <c:idx val="9"/>
          <c:order val="8"/>
          <c:tx>
            <c:strRef>
              <c:f>Dashboard!$B$43</c:f>
              <c:strCache>
                <c:ptCount val="1"/>
                <c:pt idx="0">
                  <c:v>Labor</c:v>
                </c:pt>
              </c:strCache>
            </c:strRef>
          </c:tx>
          <c:spPr>
            <a:solidFill>
              <a:schemeClr val="accent4">
                <a:lumMod val="60000"/>
              </a:schemeClr>
            </a:solidFill>
            <a:ln>
              <a:noFill/>
            </a:ln>
            <a:effectLst/>
          </c:spPr>
          <c:invertIfNegative val="0"/>
          <c:val>
            <c:numRef>
              <c:f>Dashboard!$C$43:$AF$43</c:f>
              <c:numCache>
                <c:formatCode>"$"#,##0</c:formatCode>
                <c:ptCount val="30"/>
                <c:pt idx="0">
                  <c:v>148232.66779820487</c:v>
                </c:pt>
                <c:pt idx="1">
                  <c:v>147111.03776187109</c:v>
                </c:pt>
                <c:pt idx="2">
                  <c:v>143260.38564716448</c:v>
                </c:pt>
                <c:pt idx="3">
                  <c:v>137093.48305653757</c:v>
                </c:pt>
                <c:pt idx="4">
                  <c:v>122977.60856498014</c:v>
                </c:pt>
                <c:pt idx="5">
                  <c:v>110315.17962180976</c:v>
                </c:pt>
                <c:pt idx="6">
                  <c:v>98956.541739563429</c:v>
                </c:pt>
                <c:pt idx="7">
                  <c:v>88767.449653120653</c:v>
                </c:pt>
                <c:pt idx="8">
                  <c:v>79627.480704178393</c:v>
                </c:pt>
                <c:pt idx="9">
                  <c:v>71428.611592102883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8-BE46-4D0B-A1DE-37C93AF83666}"/>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Dashboard!$N$28</c:f>
          <c:strCache>
            <c:ptCount val="1"/>
            <c:pt idx="0">
              <c:v>Per-Mile Cost of Ownership,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Dashboard!$B$105</c:f>
              <c:strCache>
                <c:ptCount val="1"/>
                <c:pt idx="0">
                  <c:v>Vehicle</c:v>
                </c:pt>
              </c:strCache>
            </c:strRef>
          </c:tx>
          <c:spPr>
            <a:solidFill>
              <a:schemeClr val="accent1"/>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Dashboard!$C$105:$AF$105</c15:sqref>
                  </c15:fullRef>
                </c:ext>
              </c:extLst>
              <c:f>Dashboard!$C$105:$Q$105</c:f>
              <c:numCache>
                <c:formatCode>"$"#,##0.00</c:formatCode>
                <c:ptCount val="15"/>
                <c:pt idx="0">
                  <c:v>0.72288747331229386</c:v>
                </c:pt>
                <c:pt idx="1">
                  <c:v>0.66503188618621978</c:v>
                </c:pt>
                <c:pt idx="2">
                  <c:v>0.62243772513593554</c:v>
                </c:pt>
                <c:pt idx="3">
                  <c:v>0.59208443485272177</c:v>
                </c:pt>
                <c:pt idx="4">
                  <c:v>0.5979191646187465</c:v>
                </c:pt>
                <c:pt idx="5">
                  <c:v>0.60485947176223931</c:v>
                </c:pt>
                <c:pt idx="6">
                  <c:v>0.61284188475902901</c:v>
                </c:pt>
                <c:pt idx="7">
                  <c:v>0.62181232471699865</c:v>
                </c:pt>
                <c:pt idx="8">
                  <c:v>0.63172477345699929</c:v>
                </c:pt>
                <c:pt idx="9">
                  <c:v>0.64254017105824712</c:v>
                </c:pt>
                <c:pt idx="10">
                  <c:v>0</c:v>
                </c:pt>
                <c:pt idx="11">
                  <c:v>0</c:v>
                </c:pt>
                <c:pt idx="12">
                  <c:v>0</c:v>
                </c:pt>
                <c:pt idx="13">
                  <c:v>0</c:v>
                </c:pt>
                <c:pt idx="14">
                  <c:v>0</c:v>
                </c:pt>
              </c:numCache>
            </c:numRef>
          </c:val>
          <c:extLst>
            <c:ext xmlns:c16="http://schemas.microsoft.com/office/drawing/2014/chart" uri="{C3380CC4-5D6E-409C-BE32-E72D297353CC}">
              <c16:uniqueId val="{00000000-DA3D-4317-B3C4-60988C551E3D}"/>
            </c:ext>
          </c:extLst>
        </c:ser>
        <c:ser>
          <c:idx val="1"/>
          <c:order val="1"/>
          <c:tx>
            <c:strRef>
              <c:f>Dashboard!$B$106</c:f>
              <c:strCache>
                <c:ptCount val="1"/>
                <c:pt idx="0">
                  <c:v>Financing</c:v>
                </c:pt>
              </c:strCache>
            </c:strRef>
          </c:tx>
          <c:spPr>
            <a:solidFill>
              <a:schemeClr val="accent2"/>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Dashboard!$C$106:$AF$106</c15:sqref>
                  </c15:fullRef>
                </c:ext>
              </c:extLst>
              <c:f>Dashboard!$C$106:$Q$106</c:f>
              <c:numCache>
                <c:formatCode>"$"#,##0.00</c:formatCode>
                <c:ptCount val="15"/>
                <c:pt idx="0">
                  <c:v>0.21321241406836772</c:v>
                </c:pt>
                <c:pt idx="1">
                  <c:v>0.17331620425690916</c:v>
                </c:pt>
                <c:pt idx="2">
                  <c:v>0.13359971073405993</c:v>
                </c:pt>
                <c:pt idx="3">
                  <c:v>9.134908436266112E-2</c:v>
                </c:pt>
                <c:pt idx="4">
                  <c:v>4.584272553433888E-2</c:v>
                </c:pt>
                <c:pt idx="5">
                  <c:v>2.7274886614098433E-3</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A3D-4317-B3C4-60988C551E3D}"/>
            </c:ext>
          </c:extLst>
        </c:ser>
        <c:ser>
          <c:idx val="2"/>
          <c:order val="2"/>
          <c:tx>
            <c:strRef>
              <c:f>Dashboard!$B$107</c:f>
              <c:strCache>
                <c:ptCount val="1"/>
                <c:pt idx="0">
                  <c:v>Fuel</c:v>
                </c:pt>
              </c:strCache>
            </c:strRef>
          </c:tx>
          <c:spPr>
            <a:solidFill>
              <a:schemeClr val="accent3"/>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Dashboard!$C$107:$AF$107</c15:sqref>
                  </c15:fullRef>
                </c:ext>
              </c:extLst>
              <c:f>Dashboard!$C$107:$Q$107</c:f>
              <c:numCache>
                <c:formatCode>"$"#,##0.00</c:formatCode>
                <c:ptCount val="15"/>
                <c:pt idx="0">
                  <c:v>0.15620697056069116</c:v>
                </c:pt>
                <c:pt idx="1">
                  <c:v>0.15620697056069116</c:v>
                </c:pt>
                <c:pt idx="2">
                  <c:v>0.15620697056069116</c:v>
                </c:pt>
                <c:pt idx="3">
                  <c:v>0.15620697056069116</c:v>
                </c:pt>
                <c:pt idx="4">
                  <c:v>0.15620697056069116</c:v>
                </c:pt>
                <c:pt idx="5">
                  <c:v>0.15620697056069116</c:v>
                </c:pt>
                <c:pt idx="6">
                  <c:v>0.15620697056069116</c:v>
                </c:pt>
                <c:pt idx="7">
                  <c:v>0.15620697056069116</c:v>
                </c:pt>
                <c:pt idx="8">
                  <c:v>0.15620697056069116</c:v>
                </c:pt>
                <c:pt idx="9">
                  <c:v>0.15620697056069116</c:v>
                </c:pt>
                <c:pt idx="10">
                  <c:v>0</c:v>
                </c:pt>
                <c:pt idx="11">
                  <c:v>0</c:v>
                </c:pt>
                <c:pt idx="12">
                  <c:v>0</c:v>
                </c:pt>
                <c:pt idx="13">
                  <c:v>0</c:v>
                </c:pt>
                <c:pt idx="14">
                  <c:v>0</c:v>
                </c:pt>
              </c:numCache>
            </c:numRef>
          </c:val>
          <c:extLst>
            <c:ext xmlns:c16="http://schemas.microsoft.com/office/drawing/2014/chart" uri="{C3380CC4-5D6E-409C-BE32-E72D297353CC}">
              <c16:uniqueId val="{00000002-DA3D-4317-B3C4-60988C551E3D}"/>
            </c:ext>
          </c:extLst>
        </c:ser>
        <c:ser>
          <c:idx val="3"/>
          <c:order val="3"/>
          <c:tx>
            <c:strRef>
              <c:f>Dashboard!$B$108</c:f>
              <c:strCache>
                <c:ptCount val="1"/>
                <c:pt idx="0">
                  <c:v>Insurance</c:v>
                </c:pt>
              </c:strCache>
            </c:strRef>
          </c:tx>
          <c:spPr>
            <a:solidFill>
              <a:schemeClr val="accent4"/>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Dashboard!$C$108:$AF$108</c15:sqref>
                  </c15:fullRef>
                </c:ext>
              </c:extLst>
              <c:f>Dashboard!$C$108:$Q$108</c:f>
              <c:numCache>
                <c:formatCode>"$"#,##0.00</c:formatCode>
                <c:ptCount val="15"/>
                <c:pt idx="0">
                  <c:v>0.47272212757726156</c:v>
                </c:pt>
                <c:pt idx="1">
                  <c:v>0.4763263393699112</c:v>
                </c:pt>
                <c:pt idx="2">
                  <c:v>0.48912936944483071</c:v>
                </c:pt>
                <c:pt idx="3">
                  <c:v>0.51113197021278289</c:v>
                </c:pt>
                <c:pt idx="4">
                  <c:v>0.56980179494216654</c:v>
                </c:pt>
                <c:pt idx="5">
                  <c:v>0.63520598287787355</c:v>
                </c:pt>
                <c:pt idx="6">
                  <c:v>0.70811753186000104</c:v>
                </c:pt>
                <c:pt idx="7">
                  <c:v>0.78939816759236359</c:v>
                </c:pt>
                <c:pt idx="8">
                  <c:v>0.88000852819074316</c:v>
                </c:pt>
                <c:pt idx="9">
                  <c:v>0.9810195177553761</c:v>
                </c:pt>
                <c:pt idx="10">
                  <c:v>0</c:v>
                </c:pt>
                <c:pt idx="11">
                  <c:v>0</c:v>
                </c:pt>
                <c:pt idx="12">
                  <c:v>0</c:v>
                </c:pt>
                <c:pt idx="13">
                  <c:v>0</c:v>
                </c:pt>
                <c:pt idx="14">
                  <c:v>0</c:v>
                </c:pt>
              </c:numCache>
            </c:numRef>
          </c:val>
          <c:extLst>
            <c:ext xmlns:c16="http://schemas.microsoft.com/office/drawing/2014/chart" uri="{C3380CC4-5D6E-409C-BE32-E72D297353CC}">
              <c16:uniqueId val="{00000003-DA3D-4317-B3C4-60988C551E3D}"/>
            </c:ext>
          </c:extLst>
        </c:ser>
        <c:ser>
          <c:idx val="4"/>
          <c:order val="4"/>
          <c:tx>
            <c:strRef>
              <c:f>Dashboard!$B$109</c:f>
              <c:strCache>
                <c:ptCount val="1"/>
                <c:pt idx="0">
                  <c:v>Taxes &amp; fees</c:v>
                </c:pt>
              </c:strCache>
            </c:strRef>
          </c:tx>
          <c:spPr>
            <a:solidFill>
              <a:schemeClr val="accent5"/>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Dashboard!$C$109:$AF$109</c15:sqref>
                  </c15:fullRef>
                </c:ext>
              </c:extLst>
              <c:f>Dashboard!$C$109:$Q$109</c:f>
              <c:numCache>
                <c:formatCode>"$"#,##0.00</c:formatCode>
                <c:ptCount val="15"/>
                <c:pt idx="0">
                  <c:v>1.4095140793188059</c:v>
                </c:pt>
                <c:pt idx="1">
                  <c:v>3.0212699240034367E-3</c:v>
                </c:pt>
                <c:pt idx="2">
                  <c:v>3.1024777147643547E-3</c:v>
                </c:pt>
                <c:pt idx="3">
                  <c:v>3.2420370682067945E-3</c:v>
                </c:pt>
                <c:pt idx="4">
                  <c:v>3.6141713850617418E-3</c:v>
                </c:pt>
                <c:pt idx="5">
                  <c:v>4.0290208056825124E-3</c:v>
                </c:pt>
                <c:pt idx="6">
                  <c:v>4.4914883449405779E-3</c:v>
                </c:pt>
                <c:pt idx="7">
                  <c:v>5.0070398058715626E-3</c:v>
                </c:pt>
                <c:pt idx="8">
                  <c:v>5.5817683788098567E-3</c:v>
                </c:pt>
                <c:pt idx="9">
                  <c:v>6.2224666554769568E-3</c:v>
                </c:pt>
                <c:pt idx="10">
                  <c:v>0</c:v>
                </c:pt>
                <c:pt idx="11">
                  <c:v>0</c:v>
                </c:pt>
                <c:pt idx="12">
                  <c:v>0</c:v>
                </c:pt>
                <c:pt idx="13">
                  <c:v>0</c:v>
                </c:pt>
                <c:pt idx="14">
                  <c:v>0</c:v>
                </c:pt>
              </c:numCache>
            </c:numRef>
          </c:val>
          <c:extLst>
            <c:ext xmlns:c16="http://schemas.microsoft.com/office/drawing/2014/chart" uri="{C3380CC4-5D6E-409C-BE32-E72D297353CC}">
              <c16:uniqueId val="{00000004-DA3D-4317-B3C4-60988C551E3D}"/>
            </c:ext>
          </c:extLst>
        </c:ser>
        <c:ser>
          <c:idx val="5"/>
          <c:order val="5"/>
          <c:tx>
            <c:strRef>
              <c:f>Dashboard!$B$110</c:f>
              <c:strCache>
                <c:ptCount val="1"/>
                <c:pt idx="0">
                  <c:v>Maintenance</c:v>
                </c:pt>
              </c:strCache>
            </c:strRef>
          </c:tx>
          <c:spPr>
            <a:solidFill>
              <a:schemeClr val="accent6"/>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Dashboard!$C$110:$AF$110</c15:sqref>
                  </c15:fullRef>
                </c:ext>
              </c:extLst>
              <c:f>Dashboard!$C$110:$Q$110</c:f>
              <c:numCache>
                <c:formatCode>"$"#,##0.00</c:formatCode>
                <c:ptCount val="15"/>
                <c:pt idx="0">
                  <c:v>0.37386016641010023</c:v>
                </c:pt>
                <c:pt idx="1">
                  <c:v>0.41183475477891629</c:v>
                </c:pt>
                <c:pt idx="2">
                  <c:v>0.44854462159240305</c:v>
                </c:pt>
                <c:pt idx="3">
                  <c:v>0.56175255202180152</c:v>
                </c:pt>
                <c:pt idx="4">
                  <c:v>0.65697175792112017</c:v>
                </c:pt>
                <c:pt idx="5">
                  <c:v>0.71379241807752192</c:v>
                </c:pt>
                <c:pt idx="6">
                  <c:v>0.81285822727008372</c:v>
                </c:pt>
                <c:pt idx="7">
                  <c:v>0.91496097231817575</c:v>
                </c:pt>
                <c:pt idx="8">
                  <c:v>1.0219866709847949</c:v>
                </c:pt>
                <c:pt idx="9">
                  <c:v>1.206695947545714</c:v>
                </c:pt>
                <c:pt idx="10">
                  <c:v>0</c:v>
                </c:pt>
                <c:pt idx="11">
                  <c:v>0</c:v>
                </c:pt>
                <c:pt idx="12">
                  <c:v>0</c:v>
                </c:pt>
                <c:pt idx="13">
                  <c:v>0</c:v>
                </c:pt>
                <c:pt idx="14">
                  <c:v>0</c:v>
                </c:pt>
              </c:numCache>
            </c:numRef>
          </c:val>
          <c:extLst>
            <c:ext xmlns:c16="http://schemas.microsoft.com/office/drawing/2014/chart" uri="{C3380CC4-5D6E-409C-BE32-E72D297353CC}">
              <c16:uniqueId val="{00000005-DA3D-4317-B3C4-60988C551E3D}"/>
            </c:ext>
          </c:extLst>
        </c:ser>
        <c:ser>
          <c:idx val="6"/>
          <c:order val="6"/>
          <c:tx>
            <c:strRef>
              <c:f>Dashboard!$B$111</c:f>
              <c:strCache>
                <c:ptCount val="1"/>
                <c:pt idx="0">
                  <c:v>Repair</c:v>
                </c:pt>
              </c:strCache>
            </c:strRef>
          </c:tx>
          <c:spPr>
            <a:solidFill>
              <a:schemeClr val="accent1">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Dashboard!$C$111:$AF$111</c15:sqref>
                  </c15:fullRef>
                </c:ext>
              </c:extLst>
              <c:f>Dashboard!$C$111:$Q$111</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6-DA3D-4317-B3C4-60988C551E3D}"/>
            </c:ext>
          </c:extLst>
        </c:ser>
        <c:ser>
          <c:idx val="7"/>
          <c:order val="7"/>
          <c:tx>
            <c:strRef>
              <c:f>Dashboard!$B$112</c:f>
              <c:strCache>
                <c:ptCount val="1"/>
                <c:pt idx="0">
                  <c:v>Operational</c:v>
                </c:pt>
              </c:strCache>
            </c:strRef>
          </c:tx>
          <c:spPr>
            <a:solidFill>
              <a:schemeClr val="accent2">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Dashboard!$C$112:$AF$112</c15:sqref>
                  </c15:fullRef>
                </c:ext>
              </c:extLst>
              <c:f>Dashboard!$C$112:$Q$112</c:f>
              <c:numCache>
                <c:formatCode>"$"#,##0.00</c:formatCode>
                <c:ptCount val="15"/>
                <c:pt idx="0">
                  <c:v>2.5731029939009945E-2</c:v>
                </c:pt>
                <c:pt idx="1">
                  <c:v>2.5731029939009938E-2</c:v>
                </c:pt>
                <c:pt idx="2">
                  <c:v>2.5731029939009942E-2</c:v>
                </c:pt>
                <c:pt idx="3">
                  <c:v>2.5731029939009942E-2</c:v>
                </c:pt>
                <c:pt idx="4">
                  <c:v>2.5731029939009942E-2</c:v>
                </c:pt>
                <c:pt idx="5">
                  <c:v>2.5731029939009945E-2</c:v>
                </c:pt>
                <c:pt idx="6">
                  <c:v>2.5731029939009945E-2</c:v>
                </c:pt>
                <c:pt idx="7">
                  <c:v>2.5731029939009942E-2</c:v>
                </c:pt>
                <c:pt idx="8">
                  <c:v>2.5731029939009942E-2</c:v>
                </c:pt>
                <c:pt idx="9">
                  <c:v>2.5731029939009942E-2</c:v>
                </c:pt>
                <c:pt idx="10">
                  <c:v>0</c:v>
                </c:pt>
                <c:pt idx="11">
                  <c:v>0</c:v>
                </c:pt>
                <c:pt idx="12">
                  <c:v>0</c:v>
                </c:pt>
                <c:pt idx="13">
                  <c:v>0</c:v>
                </c:pt>
                <c:pt idx="14">
                  <c:v>0</c:v>
                </c:pt>
              </c:numCache>
            </c:numRef>
          </c:val>
          <c:extLst>
            <c:ext xmlns:c16="http://schemas.microsoft.com/office/drawing/2014/chart" uri="{C3380CC4-5D6E-409C-BE32-E72D297353CC}">
              <c16:uniqueId val="{00000007-DA3D-4317-B3C4-60988C551E3D}"/>
            </c:ext>
          </c:extLst>
        </c:ser>
        <c:ser>
          <c:idx val="9"/>
          <c:order val="8"/>
          <c:tx>
            <c:strRef>
              <c:f>Dashboard!$B$113</c:f>
              <c:strCache>
                <c:ptCount val="1"/>
                <c:pt idx="0">
                  <c:v>Labor</c:v>
                </c:pt>
              </c:strCache>
            </c:strRef>
          </c:tx>
          <c:spPr>
            <a:solidFill>
              <a:schemeClr val="accent4">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Dashboard!$C$113:$AF$113</c15:sqref>
                  </c15:fullRef>
                </c:ext>
              </c:extLst>
              <c:f>Dashboard!$C$113:$Q$113</c:f>
              <c:numCache>
                <c:formatCode>"$"#,##0.00</c:formatCode>
                <c:ptCount val="15"/>
                <c:pt idx="0">
                  <c:v>2.002081774229167</c:v>
                </c:pt>
                <c:pt idx="1">
                  <c:v>2.0020817742291666</c:v>
                </c:pt>
                <c:pt idx="2">
                  <c:v>2.002081774229167</c:v>
                </c:pt>
                <c:pt idx="3">
                  <c:v>2.0020817742291666</c:v>
                </c:pt>
                <c:pt idx="4">
                  <c:v>2.0020817742291666</c:v>
                </c:pt>
                <c:pt idx="5">
                  <c:v>2.0020817742291666</c:v>
                </c:pt>
                <c:pt idx="6">
                  <c:v>2.0020817742291666</c:v>
                </c:pt>
                <c:pt idx="7">
                  <c:v>2.0020817742291666</c:v>
                </c:pt>
                <c:pt idx="8">
                  <c:v>2.0020817742291666</c:v>
                </c:pt>
                <c:pt idx="9">
                  <c:v>2.002081774229167</c:v>
                </c:pt>
                <c:pt idx="10">
                  <c:v>0</c:v>
                </c:pt>
                <c:pt idx="11">
                  <c:v>0</c:v>
                </c:pt>
                <c:pt idx="12">
                  <c:v>0</c:v>
                </c:pt>
                <c:pt idx="13">
                  <c:v>0</c:v>
                </c:pt>
                <c:pt idx="14">
                  <c:v>0</c:v>
                </c:pt>
              </c:numCache>
            </c:numRef>
          </c:val>
          <c:extLst>
            <c:ext xmlns:c16="http://schemas.microsoft.com/office/drawing/2014/chart" uri="{C3380CC4-5D6E-409C-BE32-E72D297353CC}">
              <c16:uniqueId val="{00000008-DA3D-4317-B3C4-60988C551E3D}"/>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numFmt formatCode="General" sourceLinked="0"/>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Dashboard!$N$26</c:f>
          <c:strCache>
            <c:ptCount val="1"/>
            <c:pt idx="0">
              <c:v>Discounted Cash Flow, BEV, Class 8 Bus, MY2020</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Dashboard!$B$46</c:f>
              <c:strCache>
                <c:ptCount val="1"/>
                <c:pt idx="0">
                  <c:v>Vehicle</c:v>
                </c:pt>
              </c:strCache>
            </c:strRef>
          </c:tx>
          <c:spPr>
            <a:solidFill>
              <a:schemeClr val="accent1"/>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Dashboard!$C$46:$AF$46</c15:sqref>
                  </c15:fullRef>
                </c:ext>
              </c:extLst>
              <c:f>Dashboard!$C$46:$Q$46</c:f>
              <c:numCache>
                <c:formatCode>"$"#,##0</c:formatCode>
                <c:ptCount val="15"/>
                <c:pt idx="0">
                  <c:v>149135.258129058</c:v>
                </c:pt>
                <c:pt idx="1">
                  <c:v>86354.658103859998</c:v>
                </c:pt>
                <c:pt idx="2">
                  <c:v>82242.531527485698</c:v>
                </c:pt>
                <c:pt idx="3">
                  <c:v>78326.220502367345</c:v>
                </c:pt>
                <c:pt idx="4">
                  <c:v>74596.400478445095</c:v>
                </c:pt>
                <c:pt idx="5">
                  <c:v>17761.047732963114</c:v>
                </c:pt>
                <c:pt idx="6">
                  <c:v>0</c:v>
                </c:pt>
                <c:pt idx="7">
                  <c:v>0</c:v>
                </c:pt>
                <c:pt idx="8">
                  <c:v>0</c:v>
                </c:pt>
                <c:pt idx="9">
                  <c:v>-129943.47967706987</c:v>
                </c:pt>
                <c:pt idx="10">
                  <c:v>0</c:v>
                </c:pt>
                <c:pt idx="11">
                  <c:v>0</c:v>
                </c:pt>
                <c:pt idx="12">
                  <c:v>0</c:v>
                </c:pt>
                <c:pt idx="13">
                  <c:v>0</c:v>
                </c:pt>
                <c:pt idx="14">
                  <c:v>0</c:v>
                </c:pt>
              </c:numCache>
            </c:numRef>
          </c:val>
          <c:extLst>
            <c:ext xmlns:c16="http://schemas.microsoft.com/office/drawing/2014/chart" uri="{C3380CC4-5D6E-409C-BE32-E72D297353CC}">
              <c16:uniqueId val="{00000000-1B31-44DC-8BBF-208C370AA736}"/>
            </c:ext>
          </c:extLst>
        </c:ser>
        <c:ser>
          <c:idx val="1"/>
          <c:order val="1"/>
          <c:tx>
            <c:strRef>
              <c:f>Dashboard!$B$47</c:f>
              <c:strCache>
                <c:ptCount val="1"/>
                <c:pt idx="0">
                  <c:v>Financing</c:v>
                </c:pt>
              </c:strCache>
            </c:strRef>
          </c:tx>
          <c:spPr>
            <a:solidFill>
              <a:schemeClr val="accent2"/>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Dashboard!$C$47:$AF$47</c15:sqref>
                  </c15:fullRef>
                </c:ext>
              </c:extLst>
              <c:f>Dashboard!$C$47:$Q$47</c:f>
              <c:numCache>
                <c:formatCode>"$"#,##0</c:formatCode>
                <c:ptCount val="15"/>
                <c:pt idx="0">
                  <c:v>15786.090933882107</c:v>
                </c:pt>
                <c:pt idx="1">
                  <c:v>12128.673833585981</c:v>
                </c:pt>
                <c:pt idx="2">
                  <c:v>8671.0406758809422</c:v>
                </c:pt>
                <c:pt idx="3">
                  <c:v>5403.4520225498736</c:v>
                </c:pt>
                <c:pt idx="4">
                  <c:v>2316.63421019001</c:v>
                </c:pt>
                <c:pt idx="5">
                  <c:v>117.75244210507256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1B31-44DC-8BBF-208C370AA736}"/>
            </c:ext>
          </c:extLst>
        </c:ser>
        <c:ser>
          <c:idx val="2"/>
          <c:order val="2"/>
          <c:tx>
            <c:strRef>
              <c:f>Dashboard!$B$48</c:f>
              <c:strCache>
                <c:ptCount val="1"/>
                <c:pt idx="0">
                  <c:v>Fuel</c:v>
                </c:pt>
              </c:strCache>
            </c:strRef>
          </c:tx>
          <c:spPr>
            <a:solidFill>
              <a:schemeClr val="accent3"/>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Dashboard!$C$48:$AF$48</c15:sqref>
                  </c15:fullRef>
                </c:ext>
              </c:extLst>
              <c:f>Dashboard!$C$48:$Q$48</c:f>
              <c:numCache>
                <c:formatCode>"$"#,##0</c:formatCode>
                <c:ptCount val="15"/>
                <c:pt idx="0">
                  <c:v>11565.449659918078</c:v>
                </c:pt>
                <c:pt idx="1">
                  <c:v>10931.369081074623</c:v>
                </c:pt>
                <c:pt idx="2">
                  <c:v>10138.322816312651</c:v>
                </c:pt>
                <c:pt idx="3">
                  <c:v>9239.9051057983343</c:v>
                </c:pt>
                <c:pt idx="4">
                  <c:v>7893.8241052001977</c:v>
                </c:pt>
                <c:pt idx="5">
                  <c:v>6743.8418782825656</c:v>
                </c:pt>
                <c:pt idx="6">
                  <c:v>5761.390508982503</c:v>
                </c:pt>
                <c:pt idx="7">
                  <c:v>4922.063891190609</c:v>
                </c:pt>
                <c:pt idx="8">
                  <c:v>4205.0114310409808</c:v>
                </c:pt>
                <c:pt idx="9">
                  <c:v>3592.4200754143699</c:v>
                </c:pt>
                <c:pt idx="10">
                  <c:v>0</c:v>
                </c:pt>
                <c:pt idx="11">
                  <c:v>0</c:v>
                </c:pt>
                <c:pt idx="12">
                  <c:v>0</c:v>
                </c:pt>
                <c:pt idx="13">
                  <c:v>0</c:v>
                </c:pt>
                <c:pt idx="14">
                  <c:v>0</c:v>
                </c:pt>
              </c:numCache>
            </c:numRef>
          </c:val>
          <c:extLst>
            <c:ext xmlns:c16="http://schemas.microsoft.com/office/drawing/2014/chart" uri="{C3380CC4-5D6E-409C-BE32-E72D297353CC}">
              <c16:uniqueId val="{00000002-1B31-44DC-8BBF-208C370AA736}"/>
            </c:ext>
          </c:extLst>
        </c:ser>
        <c:ser>
          <c:idx val="3"/>
          <c:order val="3"/>
          <c:tx>
            <c:strRef>
              <c:f>Dashboard!$B$49</c:f>
              <c:strCache>
                <c:ptCount val="1"/>
                <c:pt idx="0">
                  <c:v>Insurance</c:v>
                </c:pt>
              </c:strCache>
            </c:strRef>
          </c:tx>
          <c:spPr>
            <a:solidFill>
              <a:schemeClr val="accent4"/>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Dashboard!$C$49:$AF$49</c15:sqref>
                  </c15:fullRef>
                </c:ext>
              </c:extLst>
              <c:f>Dashboard!$C$49:$Q$49</c:f>
              <c:numCache>
                <c:formatCode>"$"#,##0</c:formatCode>
                <c:ptCount val="15"/>
                <c:pt idx="0">
                  <c:v>35000</c:v>
                </c:pt>
                <c:pt idx="1">
                  <c:v>33333.333333333328</c:v>
                </c:pt>
                <c:pt idx="2">
                  <c:v>31746.031746031742</c:v>
                </c:pt>
                <c:pt idx="3">
                  <c:v>30234.315948601659</c:v>
                </c:pt>
                <c:pt idx="4">
                  <c:v>28794.586617715868</c:v>
                </c:pt>
                <c:pt idx="5">
                  <c:v>27423.415826396063</c:v>
                </c:pt>
                <c:pt idx="6">
                  <c:v>26117.538882281966</c:v>
                </c:pt>
                <c:pt idx="7">
                  <c:v>24873.846554554253</c:v>
                </c:pt>
                <c:pt idx="8">
                  <c:v>23689.377671004051</c:v>
                </c:pt>
                <c:pt idx="9">
                  <c:v>22561.312067622905</c:v>
                </c:pt>
                <c:pt idx="10">
                  <c:v>0</c:v>
                </c:pt>
                <c:pt idx="11">
                  <c:v>0</c:v>
                </c:pt>
                <c:pt idx="12">
                  <c:v>0</c:v>
                </c:pt>
                <c:pt idx="13">
                  <c:v>0</c:v>
                </c:pt>
                <c:pt idx="14">
                  <c:v>0</c:v>
                </c:pt>
              </c:numCache>
            </c:numRef>
          </c:val>
          <c:extLst>
            <c:ext xmlns:c16="http://schemas.microsoft.com/office/drawing/2014/chart" uri="{C3380CC4-5D6E-409C-BE32-E72D297353CC}">
              <c16:uniqueId val="{00000003-1B31-44DC-8BBF-208C370AA736}"/>
            </c:ext>
          </c:extLst>
        </c:ser>
        <c:ser>
          <c:idx val="4"/>
          <c:order val="4"/>
          <c:tx>
            <c:strRef>
              <c:f>Dashboard!$B$50</c:f>
              <c:strCache>
                <c:ptCount val="1"/>
                <c:pt idx="0">
                  <c:v>Taxes &amp; fees</c:v>
                </c:pt>
              </c:strCache>
            </c:strRef>
          </c:tx>
          <c:spPr>
            <a:solidFill>
              <a:schemeClr val="accent5"/>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Dashboard!$C$50:$AF$50</c15:sqref>
                  </c15:fullRef>
                </c:ext>
              </c:extLst>
              <c:f>Dashboard!$C$50:$Q$50</c:f>
              <c:numCache>
                <c:formatCode>"$"#,##0</c:formatCode>
                <c:ptCount val="15"/>
                <c:pt idx="0">
                  <c:v>104359.38979415604</c:v>
                </c:pt>
                <c:pt idx="1">
                  <c:v>211.42857142857142</c:v>
                </c:pt>
                <c:pt idx="2">
                  <c:v>201.36054421768705</c:v>
                </c:pt>
                <c:pt idx="3">
                  <c:v>191.77194687398767</c:v>
                </c:pt>
                <c:pt idx="4">
                  <c:v>182.6399494037978</c:v>
                </c:pt>
                <c:pt idx="5">
                  <c:v>173.94280895599789</c:v>
                </c:pt>
                <c:pt idx="6">
                  <c:v>165.65981805333132</c:v>
                </c:pt>
                <c:pt idx="7">
                  <c:v>157.77125528888698</c:v>
                </c:pt>
                <c:pt idx="8">
                  <c:v>150.25833837036856</c:v>
                </c:pt>
                <c:pt idx="9">
                  <c:v>143.103179400351</c:v>
                </c:pt>
                <c:pt idx="10">
                  <c:v>0</c:v>
                </c:pt>
                <c:pt idx="11">
                  <c:v>0</c:v>
                </c:pt>
                <c:pt idx="12">
                  <c:v>0</c:v>
                </c:pt>
                <c:pt idx="13">
                  <c:v>0</c:v>
                </c:pt>
                <c:pt idx="14">
                  <c:v>0</c:v>
                </c:pt>
              </c:numCache>
            </c:numRef>
          </c:val>
          <c:extLst>
            <c:ext xmlns:c16="http://schemas.microsoft.com/office/drawing/2014/chart" uri="{C3380CC4-5D6E-409C-BE32-E72D297353CC}">
              <c16:uniqueId val="{00000004-1B31-44DC-8BBF-208C370AA736}"/>
            </c:ext>
          </c:extLst>
        </c:ser>
        <c:ser>
          <c:idx val="5"/>
          <c:order val="5"/>
          <c:tx>
            <c:strRef>
              <c:f>Dashboard!$B$51</c:f>
              <c:strCache>
                <c:ptCount val="1"/>
                <c:pt idx="0">
                  <c:v>Maintenance</c:v>
                </c:pt>
              </c:strCache>
            </c:strRef>
          </c:tx>
          <c:spPr>
            <a:solidFill>
              <a:schemeClr val="accent6"/>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Dashboard!$C$51:$AF$51</c15:sqref>
                  </c15:fullRef>
                </c:ext>
              </c:extLst>
              <c:f>Dashboard!$C$51:$Q$51</c:f>
              <c:numCache>
                <c:formatCode>"$"#,##0</c:formatCode>
                <c:ptCount val="15"/>
                <c:pt idx="0">
                  <c:v>27680.332823461667</c:v>
                </c:pt>
                <c:pt idx="1">
                  <c:v>28820.210063244667</c:v>
                </c:pt>
                <c:pt idx="2">
                  <c:v>29111.954190659795</c:v>
                </c:pt>
                <c:pt idx="3">
                  <c:v>33228.608524898096</c:v>
                </c:pt>
                <c:pt idx="4">
                  <c:v>33199.667598051019</c:v>
                </c:pt>
                <c:pt idx="5">
                  <c:v>30816.186909927299</c:v>
                </c:pt>
                <c:pt idx="6">
                  <c:v>29980.695860961208</c:v>
                </c:pt>
                <c:pt idx="7">
                  <c:v>28830.316262654858</c:v>
                </c:pt>
                <c:pt idx="8">
                  <c:v>27511.356365450312</c:v>
                </c:pt>
                <c:pt idx="9">
                  <c:v>27751.378388073441</c:v>
                </c:pt>
                <c:pt idx="10">
                  <c:v>0</c:v>
                </c:pt>
                <c:pt idx="11">
                  <c:v>0</c:v>
                </c:pt>
                <c:pt idx="12">
                  <c:v>0</c:v>
                </c:pt>
                <c:pt idx="13">
                  <c:v>0</c:v>
                </c:pt>
                <c:pt idx="14">
                  <c:v>0</c:v>
                </c:pt>
              </c:numCache>
            </c:numRef>
          </c:val>
          <c:extLst>
            <c:ext xmlns:c16="http://schemas.microsoft.com/office/drawing/2014/chart" uri="{C3380CC4-5D6E-409C-BE32-E72D297353CC}">
              <c16:uniqueId val="{00000005-1B31-44DC-8BBF-208C370AA736}"/>
            </c:ext>
          </c:extLst>
        </c:ser>
        <c:ser>
          <c:idx val="6"/>
          <c:order val="6"/>
          <c:tx>
            <c:strRef>
              <c:f>Dashboard!$B$52</c:f>
              <c:strCache>
                <c:ptCount val="1"/>
                <c:pt idx="0">
                  <c:v>Repair</c:v>
                </c:pt>
              </c:strCache>
            </c:strRef>
          </c:tx>
          <c:spPr>
            <a:solidFill>
              <a:schemeClr val="accent1">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Dashboard!$C$52:$AF$52</c15:sqref>
                  </c15:fullRef>
                </c:ext>
              </c:extLst>
              <c:f>Dashboard!$C$52:$Q$52</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6-1B31-44DC-8BBF-208C370AA736}"/>
            </c:ext>
          </c:extLst>
        </c:ser>
        <c:ser>
          <c:idx val="7"/>
          <c:order val="7"/>
          <c:tx>
            <c:strRef>
              <c:f>Dashboard!$B$53</c:f>
              <c:strCache>
                <c:ptCount val="1"/>
                <c:pt idx="0">
                  <c:v>Operational</c:v>
                </c:pt>
              </c:strCache>
            </c:strRef>
          </c:tx>
          <c:spPr>
            <a:solidFill>
              <a:schemeClr val="accent2">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Dashboard!$C$53:$AF$53</c15:sqref>
                  </c15:fullRef>
                </c:ext>
              </c:extLst>
              <c:f>Dashboard!$C$53:$Q$53</c:f>
              <c:numCache>
                <c:formatCode>"$"#,##0</c:formatCode>
                <c:ptCount val="15"/>
                <c:pt idx="0">
                  <c:v>1905.1066056097754</c:v>
                </c:pt>
                <c:pt idx="1">
                  <c:v>1800.6583450782348</c:v>
                </c:pt>
                <c:pt idx="2">
                  <c:v>1670.0246281041134</c:v>
                </c:pt>
                <c:pt idx="3">
                  <c:v>1522.0337098755383</c:v>
                </c:pt>
                <c:pt idx="4">
                  <c:v>1300.3019241402408</c:v>
                </c:pt>
                <c:pt idx="5">
                  <c:v>1110.8723039130807</c:v>
                </c:pt>
                <c:pt idx="6">
                  <c:v>949.03902908326529</c:v>
                </c:pt>
                <c:pt idx="7">
                  <c:v>810.78182933416565</c:v>
                </c:pt>
                <c:pt idx="8">
                  <c:v>692.66611238680809</c:v>
                </c:pt>
                <c:pt idx="9">
                  <c:v>591.75764168650232</c:v>
                </c:pt>
                <c:pt idx="10">
                  <c:v>0</c:v>
                </c:pt>
                <c:pt idx="11">
                  <c:v>0</c:v>
                </c:pt>
                <c:pt idx="12">
                  <c:v>0</c:v>
                </c:pt>
                <c:pt idx="13">
                  <c:v>0</c:v>
                </c:pt>
                <c:pt idx="14">
                  <c:v>0</c:v>
                </c:pt>
              </c:numCache>
            </c:numRef>
          </c:val>
          <c:extLst>
            <c:ext xmlns:c16="http://schemas.microsoft.com/office/drawing/2014/chart" uri="{C3380CC4-5D6E-409C-BE32-E72D297353CC}">
              <c16:uniqueId val="{00000007-1B31-44DC-8BBF-208C370AA736}"/>
            </c:ext>
          </c:extLst>
        </c:ser>
        <c:ser>
          <c:idx val="9"/>
          <c:order val="8"/>
          <c:tx>
            <c:strRef>
              <c:f>Dashboard!$B$54</c:f>
              <c:strCache>
                <c:ptCount val="1"/>
                <c:pt idx="0">
                  <c:v>Labor</c:v>
                </c:pt>
              </c:strCache>
            </c:strRef>
          </c:tx>
          <c:spPr>
            <a:solidFill>
              <a:schemeClr val="accent4">
                <a:lumMod val="60000"/>
              </a:schemeClr>
            </a:solidFill>
            <a:ln>
              <a:noFill/>
            </a:ln>
            <a:effectLst/>
          </c:spPr>
          <c:invertIfNegative val="0"/>
          <c:cat>
            <c:strLit>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Dashboard!$C$54:$AF$54</c15:sqref>
                  </c15:fullRef>
                </c:ext>
              </c:extLst>
              <c:f>Dashboard!$C$54:$Q$54</c:f>
              <c:numCache>
                <c:formatCode>"$"#,##0</c:formatCode>
                <c:ptCount val="15"/>
                <c:pt idx="0">
                  <c:v>148232.66779820487</c:v>
                </c:pt>
                <c:pt idx="1">
                  <c:v>140105.75024940103</c:v>
                </c:pt>
                <c:pt idx="2">
                  <c:v>129941.39287724669</c:v>
                </c:pt>
                <c:pt idx="3">
                  <c:v>118426.50517787502</c:v>
                </c:pt>
                <c:pt idx="4">
                  <c:v>101173.9829103965</c:v>
                </c:pt>
                <c:pt idx="5">
                  <c:v>86434.82979235606</c:v>
                </c:pt>
                <c:pt idx="6">
                  <c:v>73842.895043977318</c:v>
                </c:pt>
                <c:pt idx="7">
                  <c:v>63085.369191738377</c:v>
                </c:pt>
                <c:pt idx="8">
                  <c:v>53895.013239767708</c:v>
                </c:pt>
                <c:pt idx="9">
                  <c:v>46043.519905327426</c:v>
                </c:pt>
                <c:pt idx="10">
                  <c:v>0</c:v>
                </c:pt>
                <c:pt idx="11">
                  <c:v>0</c:v>
                </c:pt>
                <c:pt idx="12">
                  <c:v>0</c:v>
                </c:pt>
                <c:pt idx="13">
                  <c:v>0</c:v>
                </c:pt>
                <c:pt idx="14">
                  <c:v>0</c:v>
                </c:pt>
              </c:numCache>
            </c:numRef>
          </c:val>
          <c:extLst>
            <c:ext xmlns:c16="http://schemas.microsoft.com/office/drawing/2014/chart" uri="{C3380CC4-5D6E-409C-BE32-E72D297353CC}">
              <c16:uniqueId val="{00000008-1B31-44DC-8BBF-208C370AA736}"/>
            </c:ext>
          </c:extLst>
        </c:ser>
        <c:dLbls>
          <c:showLegendKey val="0"/>
          <c:showVal val="0"/>
          <c:showCatName val="0"/>
          <c:showSerName val="0"/>
          <c:showPercent val="0"/>
          <c:showBubbleSize val="0"/>
        </c:dLbls>
        <c:gapWidth val="100"/>
        <c:overlap val="100"/>
        <c:axId val="719907416"/>
        <c:axId val="719909056"/>
      </c:barChart>
      <c:catAx>
        <c:axId val="719907416"/>
        <c:scaling>
          <c:orientation val="minMax"/>
        </c:scaling>
        <c:delete val="0"/>
        <c:axPos val="b"/>
        <c:numFmt formatCode="General" sourceLinked="0"/>
        <c:majorTickMark val="none"/>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Dashboard!$N$2</c:f>
          <c:strCache>
            <c:ptCount val="1"/>
            <c:pt idx="0">
              <c:v>Total 10-year Cost of Driving - 2020, Class 8 Bus</c:v>
            </c:pt>
          </c:strCache>
        </c:strRef>
      </c:tx>
      <c:layout>
        <c:manualLayout>
          <c:xMode val="edge"/>
          <c:yMode val="edge"/>
          <c:x val="0.1294983116256633"/>
          <c:y val="2.3148156586525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Dashboard!$N$3</c:f>
              <c:strCache>
                <c:ptCount val="1"/>
                <c:pt idx="0">
                  <c:v>Vehicle</c:v>
                </c:pt>
              </c:strCache>
            </c:strRef>
          </c:tx>
          <c:spPr>
            <a:solidFill>
              <a:schemeClr val="accent1"/>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Dashboard!$O$3:$W$3</c15:sqref>
                  </c15:fullRef>
                </c:ext>
              </c:extLst>
              <c:f>Dashboard!$Q$3:$W$3</c:f>
              <c:numCache>
                <c:formatCode>"$"#,##0</c:formatCode>
                <c:ptCount val="7"/>
                <c:pt idx="0">
                  <c:v>103827.63313412482</c:v>
                </c:pt>
                <c:pt idx="1">
                  <c:v>113082.66964124842</c:v>
                </c:pt>
                <c:pt idx="2">
                  <c:v>298698.19141574175</c:v>
                </c:pt>
                <c:pt idx="3">
                  <c:v>265398.0638255371</c:v>
                </c:pt>
                <c:pt idx="4">
                  <c:v>455057.30736884766</c:v>
                </c:pt>
                <c:pt idx="5">
                  <c:v>70075.316568693175</c:v>
                </c:pt>
                <c:pt idx="6">
                  <c:v>74548.177983529837</c:v>
                </c:pt>
              </c:numCache>
            </c:numRef>
          </c:val>
          <c:extLst>
            <c:ext xmlns:c16="http://schemas.microsoft.com/office/drawing/2014/chart" uri="{C3380CC4-5D6E-409C-BE32-E72D297353CC}">
              <c16:uniqueId val="{00000000-6717-4B6D-93C6-11E9DE84D193}"/>
            </c:ext>
          </c:extLst>
        </c:ser>
        <c:ser>
          <c:idx val="1"/>
          <c:order val="1"/>
          <c:tx>
            <c:strRef>
              <c:f>Dashboard!$N$4</c:f>
              <c:strCache>
                <c:ptCount val="1"/>
                <c:pt idx="0">
                  <c:v>Financing</c:v>
                </c:pt>
              </c:strCache>
            </c:strRef>
          </c:tx>
          <c:spPr>
            <a:solidFill>
              <a:schemeClr val="accent2"/>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Dashboard!$O$4:$W$4</c15:sqref>
                  </c15:fullRef>
                </c:ext>
              </c:extLst>
              <c:f>Dashboard!$Q$4:$W$4</c:f>
              <c:numCache>
                <c:formatCode>"$"#,##0</c:formatCode>
                <c:ptCount val="7"/>
                <c:pt idx="0">
                  <c:v>11120.382701680683</c:v>
                </c:pt>
                <c:pt idx="1">
                  <c:v>12111.636617141614</c:v>
                </c:pt>
                <c:pt idx="2">
                  <c:v>31991.851307561035</c:v>
                </c:pt>
                <c:pt idx="3">
                  <c:v>28425.265499527573</c:v>
                </c:pt>
                <c:pt idx="4">
                  <c:v>48738.580052199257</c:v>
                </c:pt>
                <c:pt idx="5">
                  <c:v>8796.4441441848703</c:v>
                </c:pt>
                <c:pt idx="6">
                  <c:v>9357.9153943606761</c:v>
                </c:pt>
              </c:numCache>
            </c:numRef>
          </c:val>
          <c:extLst>
            <c:ext xmlns:c16="http://schemas.microsoft.com/office/drawing/2014/chart" uri="{C3380CC4-5D6E-409C-BE32-E72D297353CC}">
              <c16:uniqueId val="{00000001-6717-4B6D-93C6-11E9DE84D193}"/>
            </c:ext>
          </c:extLst>
        </c:ser>
        <c:ser>
          <c:idx val="2"/>
          <c:order val="2"/>
          <c:tx>
            <c:strRef>
              <c:f>Dashboard!$N$5</c:f>
              <c:strCache>
                <c:ptCount val="1"/>
                <c:pt idx="0">
                  <c:v>Fuel</c:v>
                </c:pt>
              </c:strCache>
            </c:strRef>
          </c:tx>
          <c:spPr>
            <a:solidFill>
              <a:schemeClr val="accent3"/>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Dashboard!$O$5:$W$5</c15:sqref>
                  </c15:fullRef>
                </c:ext>
              </c:extLst>
              <c:f>Dashboard!$Q$5:$W$5</c:f>
              <c:numCache>
                <c:formatCode>"$"#,##0</c:formatCode>
                <c:ptCount val="7"/>
                <c:pt idx="0">
                  <c:v>227404.6875487603</c:v>
                </c:pt>
                <c:pt idx="1">
                  <c:v>228652.25818224286</c:v>
                </c:pt>
                <c:pt idx="2">
                  <c:v>260590.42155599871</c:v>
                </c:pt>
                <c:pt idx="3">
                  <c:v>1197291.1525751206</c:v>
                </c:pt>
                <c:pt idx="4">
                  <c:v>175587.05585652462</c:v>
                </c:pt>
                <c:pt idx="5">
                  <c:v>58637.500126913605</c:v>
                </c:pt>
                <c:pt idx="6">
                  <c:v>78947.269068363486</c:v>
                </c:pt>
              </c:numCache>
            </c:numRef>
          </c:val>
          <c:extLst>
            <c:ext xmlns:c16="http://schemas.microsoft.com/office/drawing/2014/chart" uri="{C3380CC4-5D6E-409C-BE32-E72D297353CC}">
              <c16:uniqueId val="{00000002-6717-4B6D-93C6-11E9DE84D193}"/>
            </c:ext>
          </c:extLst>
        </c:ser>
        <c:ser>
          <c:idx val="3"/>
          <c:order val="3"/>
          <c:tx>
            <c:strRef>
              <c:f>Dashboard!$N$6</c:f>
              <c:strCache>
                <c:ptCount val="1"/>
                <c:pt idx="0">
                  <c:v>Insurance</c:v>
                </c:pt>
              </c:strCache>
            </c:strRef>
          </c:tx>
          <c:spPr>
            <a:solidFill>
              <a:schemeClr val="accent4"/>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Dashboard!$O$6:$W$6</c15:sqref>
                  </c15:fullRef>
                </c:ext>
              </c:extLst>
              <c:f>Dashboard!$Q$6:$W$6</c:f>
              <c:numCache>
                <c:formatCode>"$"#,##0</c:formatCode>
                <c:ptCount val="7"/>
                <c:pt idx="0">
                  <c:v>44356.629753569934</c:v>
                </c:pt>
                <c:pt idx="1">
                  <c:v>45680.044580693218</c:v>
                </c:pt>
                <c:pt idx="2">
                  <c:v>72221.953245398516</c:v>
                </c:pt>
                <c:pt idx="3">
                  <c:v>67460.23430846585</c:v>
                </c:pt>
                <c:pt idx="4">
                  <c:v>94580.370983562578</c:v>
                </c:pt>
                <c:pt idx="5">
                  <c:v>40126.306076162102</c:v>
                </c:pt>
                <c:pt idx="6">
                  <c:v>60189.45911424316</c:v>
                </c:pt>
              </c:numCache>
            </c:numRef>
          </c:val>
          <c:extLst>
            <c:ext xmlns:c16="http://schemas.microsoft.com/office/drawing/2014/chart" uri="{C3380CC4-5D6E-409C-BE32-E72D297353CC}">
              <c16:uniqueId val="{00000003-6717-4B6D-93C6-11E9DE84D193}"/>
            </c:ext>
          </c:extLst>
        </c:ser>
        <c:ser>
          <c:idx val="4"/>
          <c:order val="4"/>
          <c:tx>
            <c:strRef>
              <c:f>Dashboard!$N$7</c:f>
              <c:strCache>
                <c:ptCount val="1"/>
                <c:pt idx="0">
                  <c:v>Taxes &amp; fees</c:v>
                </c:pt>
              </c:strCache>
            </c:strRef>
          </c:tx>
          <c:spPr>
            <a:solidFill>
              <a:schemeClr val="accent5"/>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Dashboard!$O$7:$W$7</c15:sqref>
                  </c15:fullRef>
                </c:ext>
              </c:extLst>
              <c:f>Dashboard!$Q$7:$W$7</c:f>
              <c:numCache>
                <c:formatCode>"$"#,##0</c:formatCode>
                <c:ptCount val="7"/>
                <c:pt idx="0">
                  <c:v>31839.494539446761</c:v>
                </c:pt>
                <c:pt idx="1">
                  <c:v>34113.29620965464</c:v>
                </c:pt>
                <c:pt idx="2">
                  <c:v>78933.26562275787</c:v>
                </c:pt>
                <c:pt idx="3">
                  <c:v>71188.878423407717</c:v>
                </c:pt>
                <c:pt idx="4">
                  <c:v>116734.94947630452</c:v>
                </c:pt>
                <c:pt idx="5">
                  <c:v>22693.636199774439</c:v>
                </c:pt>
                <c:pt idx="6">
                  <c:v>23953.719889291475</c:v>
                </c:pt>
              </c:numCache>
            </c:numRef>
          </c:val>
          <c:extLst>
            <c:ext xmlns:c16="http://schemas.microsoft.com/office/drawing/2014/chart" uri="{C3380CC4-5D6E-409C-BE32-E72D297353CC}">
              <c16:uniqueId val="{00000004-6717-4B6D-93C6-11E9DE84D193}"/>
            </c:ext>
          </c:extLst>
        </c:ser>
        <c:ser>
          <c:idx val="5"/>
          <c:order val="5"/>
          <c:tx>
            <c:strRef>
              <c:f>Dashboard!$N$8</c:f>
              <c:strCache>
                <c:ptCount val="1"/>
                <c:pt idx="0">
                  <c:v>Maintenance</c:v>
                </c:pt>
              </c:strCache>
            </c:strRef>
          </c:tx>
          <c:spPr>
            <a:solidFill>
              <a:schemeClr val="accent6"/>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Dashboard!$O$8:$W$8</c15:sqref>
                  </c15:fullRef>
                </c:ext>
              </c:extLst>
              <c:f>Dashboard!$Q$8:$W$8</c:f>
              <c:numCache>
                <c:formatCode>"$"#,##0</c:formatCode>
                <c:ptCount val="7"/>
                <c:pt idx="0">
                  <c:v>90010.933732145684</c:v>
                </c:pt>
                <c:pt idx="1">
                  <c:v>90010.933732145684</c:v>
                </c:pt>
                <c:pt idx="2">
                  <c:v>90010.933732145684</c:v>
                </c:pt>
                <c:pt idx="3">
                  <c:v>90010.933732145684</c:v>
                </c:pt>
                <c:pt idx="4">
                  <c:v>90010.933732145684</c:v>
                </c:pt>
                <c:pt idx="5">
                  <c:v>65328.44835839179</c:v>
                </c:pt>
                <c:pt idx="6">
                  <c:v>372216.5458083846</c:v>
                </c:pt>
              </c:numCache>
            </c:numRef>
          </c:val>
          <c:extLst>
            <c:ext xmlns:c16="http://schemas.microsoft.com/office/drawing/2014/chart" uri="{C3380CC4-5D6E-409C-BE32-E72D297353CC}">
              <c16:uniqueId val="{00000005-6717-4B6D-93C6-11E9DE84D193}"/>
            </c:ext>
          </c:extLst>
        </c:ser>
        <c:ser>
          <c:idx val="6"/>
          <c:order val="6"/>
          <c:tx>
            <c:strRef>
              <c:f>Dashboard!$N$9</c:f>
              <c:strCache>
                <c:ptCount val="1"/>
                <c:pt idx="0">
                  <c:v>Repair</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Dashboard!$O$9:$W$9</c15:sqref>
                  </c15:fullRef>
                </c:ext>
              </c:extLst>
              <c:f>Dashboard!$Q$9:$W$9</c:f>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6-6717-4B6D-93C6-11E9DE84D193}"/>
            </c:ext>
          </c:extLst>
        </c:ser>
        <c:ser>
          <c:idx val="7"/>
          <c:order val="7"/>
          <c:tx>
            <c:strRef>
              <c:f>Dashboard!$N$10</c:f>
              <c:strCache>
                <c:ptCount val="1"/>
                <c:pt idx="0">
                  <c:v>Operational</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Dashboard!$O$10:$W$10</c15:sqref>
                  </c15:fullRef>
                </c:ext>
              </c:extLst>
              <c:f>Dashboard!$Q$10:$W$10</c:f>
              <c:numCache>
                <c:formatCode>"$"#,##0</c:formatCode>
                <c:ptCount val="7"/>
                <c:pt idx="0">
                  <c:v>0</c:v>
                </c:pt>
                <c:pt idx="1">
                  <c:v>3008.1683582855881</c:v>
                </c:pt>
                <c:pt idx="2">
                  <c:v>87311.005224052322</c:v>
                </c:pt>
                <c:pt idx="3">
                  <c:v>23006.50054604148</c:v>
                </c:pt>
                <c:pt idx="4">
                  <c:v>76469.369572225187</c:v>
                </c:pt>
                <c:pt idx="5">
                  <c:v>0</c:v>
                </c:pt>
                <c:pt idx="6">
                  <c:v>0</c:v>
                </c:pt>
              </c:numCache>
            </c:numRef>
          </c:val>
          <c:extLst>
            <c:ext xmlns:c16="http://schemas.microsoft.com/office/drawing/2014/chart" uri="{C3380CC4-5D6E-409C-BE32-E72D297353CC}">
              <c16:uniqueId val="{00000007-6717-4B6D-93C6-11E9DE84D193}"/>
            </c:ext>
          </c:extLst>
        </c:ser>
        <c:ser>
          <c:idx val="9"/>
          <c:order val="8"/>
          <c:tx>
            <c:strRef>
              <c:f>Dashboard!$N$11</c:f>
              <c:strCache>
                <c:ptCount val="1"/>
                <c:pt idx="0">
                  <c:v>Labor</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Dashboard!$O$2:$W$2</c15:sqref>
                  </c15:fullRef>
                </c:ext>
              </c:extLst>
              <c:f>Dashboard!$Q$2:$W$2</c:f>
              <c:strCache>
                <c:ptCount val="7"/>
                <c:pt idx="0">
                  <c:v>ICE-CI</c:v>
                </c:pt>
                <c:pt idx="1">
                  <c:v>HEV</c:v>
                </c:pt>
                <c:pt idx="2">
                  <c:v>PHEV</c:v>
                </c:pt>
                <c:pt idx="3">
                  <c:v>FCEV</c:v>
                </c:pt>
                <c:pt idx="4">
                  <c:v>BEV</c:v>
                </c:pt>
                <c:pt idx="5">
                  <c:v>Class 8 Vocational</c:v>
                </c:pt>
                <c:pt idx="6">
                  <c:v>Class 8 Refuse</c:v>
                </c:pt>
              </c:strCache>
            </c:strRef>
          </c:cat>
          <c:val>
            <c:numRef>
              <c:extLst>
                <c:ext xmlns:c15="http://schemas.microsoft.com/office/drawing/2012/chart" uri="{02D57815-91ED-43cb-92C2-25804820EDAC}">
                  <c15:fullRef>
                    <c15:sqref>Dashboard!$O$11:$W$11</c15:sqref>
                  </c15:fullRef>
                </c:ext>
              </c:extLst>
              <c:f>Dashboard!$Q$11:$W$11</c:f>
              <c:numCache>
                <c:formatCode>"$"#,##0</c:formatCode>
                <c:ptCount val="7"/>
                <c:pt idx="0">
                  <c:v>375998.00651185791</c:v>
                </c:pt>
                <c:pt idx="1">
                  <c:v>375998.00651185791</c:v>
                </c:pt>
                <c:pt idx="2">
                  <c:v>926415.16456471011</c:v>
                </c:pt>
                <c:pt idx="3">
                  <c:v>375998.00651185791</c:v>
                </c:pt>
                <c:pt idx="4">
                  <c:v>1286583.7196368137</c:v>
                </c:pt>
                <c:pt idx="5">
                  <c:v>110611.63918868125</c:v>
                </c:pt>
                <c:pt idx="6">
                  <c:v>110611.63918868125</c:v>
                </c:pt>
              </c:numCache>
            </c:numRef>
          </c:val>
          <c:extLst>
            <c:ext xmlns:c16="http://schemas.microsoft.com/office/drawing/2014/chart" uri="{C3380CC4-5D6E-409C-BE32-E72D297353CC}">
              <c16:uniqueId val="{00000008-6717-4B6D-93C6-11E9DE84D193}"/>
            </c:ext>
          </c:extLst>
        </c:ser>
        <c:dLbls>
          <c:showLegendKey val="0"/>
          <c:showVal val="0"/>
          <c:showCatName val="0"/>
          <c:showSerName val="0"/>
          <c:showPercent val="0"/>
          <c:showBubbleSize val="0"/>
        </c:dLbls>
        <c:gapWidth val="120"/>
        <c:overlap val="100"/>
        <c:axId val="719907416"/>
        <c:axId val="719909056"/>
      </c:barChart>
      <c:catAx>
        <c:axId val="719907416"/>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Dashboard!$N$13</c:f>
          <c:strCache>
            <c:ptCount val="1"/>
            <c:pt idx="0">
              <c:v>Average 10-year per-Mile Cost of Driving - 2020, Class 8 Bus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Dashboard!$N$14</c:f>
              <c:strCache>
                <c:ptCount val="1"/>
                <c:pt idx="0">
                  <c:v>Vehicle</c:v>
                </c:pt>
              </c:strCache>
            </c:strRef>
          </c:tx>
          <c:spPr>
            <a:solidFill>
              <a:schemeClr val="accent1"/>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Dashboard!$O$14:$W$14</c15:sqref>
                  </c15:fullRef>
                </c:ext>
              </c:extLst>
              <c:f>Dashboard!$Q$14:$U$14</c:f>
              <c:numCache>
                <c:formatCode>"$"#,##0.0000</c:formatCode>
                <c:ptCount val="5"/>
                <c:pt idx="0">
                  <c:v>0.21814080466171731</c:v>
                </c:pt>
                <c:pt idx="1">
                  <c:v>0.23758554254021147</c:v>
                </c:pt>
                <c:pt idx="2">
                  <c:v>0.62756187211026904</c:v>
                </c:pt>
                <c:pt idx="3">
                  <c:v>0.5575986416234362</c:v>
                </c:pt>
                <c:pt idx="4">
                  <c:v>0.9560707896365318</c:v>
                </c:pt>
              </c:numCache>
            </c:numRef>
          </c:val>
          <c:extLst>
            <c:ext xmlns:c16="http://schemas.microsoft.com/office/drawing/2014/chart" uri="{C3380CC4-5D6E-409C-BE32-E72D297353CC}">
              <c16:uniqueId val="{00000000-3673-4323-ACB2-16963F7BF264}"/>
            </c:ext>
          </c:extLst>
        </c:ser>
        <c:ser>
          <c:idx val="1"/>
          <c:order val="1"/>
          <c:tx>
            <c:strRef>
              <c:f>Dashboard!$N$15</c:f>
              <c:strCache>
                <c:ptCount val="1"/>
                <c:pt idx="0">
                  <c:v>Financing</c:v>
                </c:pt>
              </c:strCache>
            </c:strRef>
          </c:tx>
          <c:spPr>
            <a:solidFill>
              <a:schemeClr val="accent2"/>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Dashboard!$O$15:$W$15</c15:sqref>
                  </c15:fullRef>
                </c:ext>
              </c:extLst>
              <c:f>Dashboard!$Q$15:$U$15</c:f>
              <c:numCache>
                <c:formatCode>"$"#,##0.0000</c:formatCode>
                <c:ptCount val="5"/>
                <c:pt idx="0">
                  <c:v>2.336381132330349E-2</c:v>
                </c:pt>
                <c:pt idx="1">
                  <c:v>2.5446425750846061E-2</c:v>
                </c:pt>
                <c:pt idx="2">
                  <c:v>6.7214555279655058E-2</c:v>
                </c:pt>
                <c:pt idx="3">
                  <c:v>5.9721194653255774E-2</c:v>
                </c:pt>
                <c:pt idx="4">
                  <c:v>0.10239926260210505</c:v>
                </c:pt>
              </c:numCache>
            </c:numRef>
          </c:val>
          <c:extLst>
            <c:ext xmlns:c16="http://schemas.microsoft.com/office/drawing/2014/chart" uri="{C3380CC4-5D6E-409C-BE32-E72D297353CC}">
              <c16:uniqueId val="{00000001-3673-4323-ACB2-16963F7BF264}"/>
            </c:ext>
          </c:extLst>
        </c:ser>
        <c:ser>
          <c:idx val="2"/>
          <c:order val="2"/>
          <c:tx>
            <c:strRef>
              <c:f>Dashboard!$N$16</c:f>
              <c:strCache>
                <c:ptCount val="1"/>
                <c:pt idx="0">
                  <c:v>Fuel</c:v>
                </c:pt>
              </c:strCache>
            </c:strRef>
          </c:tx>
          <c:spPr>
            <a:solidFill>
              <a:schemeClr val="accent3"/>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Dashboard!$O$16:$W$16</c15:sqref>
                  </c15:fullRef>
                </c:ext>
              </c:extLst>
              <c:f>Dashboard!$Q$16:$U$16</c:f>
              <c:numCache>
                <c:formatCode>"$"#,##0.0000</c:formatCode>
                <c:ptCount val="5"/>
                <c:pt idx="0">
                  <c:v>0.47777494322394409</c:v>
                </c:pt>
                <c:pt idx="1">
                  <c:v>0.48039607647763827</c:v>
                </c:pt>
                <c:pt idx="2">
                  <c:v>0.5474978339526303</c:v>
                </c:pt>
                <c:pt idx="3">
                  <c:v>2.5154965740161028</c:v>
                </c:pt>
                <c:pt idx="4">
                  <c:v>0.3689066243400218</c:v>
                </c:pt>
              </c:numCache>
            </c:numRef>
          </c:val>
          <c:extLst>
            <c:ext xmlns:c16="http://schemas.microsoft.com/office/drawing/2014/chart" uri="{C3380CC4-5D6E-409C-BE32-E72D297353CC}">
              <c16:uniqueId val="{00000002-3673-4323-ACB2-16963F7BF264}"/>
            </c:ext>
          </c:extLst>
        </c:ser>
        <c:ser>
          <c:idx val="3"/>
          <c:order val="3"/>
          <c:tx>
            <c:strRef>
              <c:f>Dashboard!$N$17</c:f>
              <c:strCache>
                <c:ptCount val="1"/>
                <c:pt idx="0">
                  <c:v>Insurance</c:v>
                </c:pt>
              </c:strCache>
            </c:strRef>
          </c:tx>
          <c:spPr>
            <a:solidFill>
              <a:schemeClr val="accent4"/>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Dashboard!$O$17:$W$17</c15:sqref>
                  </c15:fullRef>
                </c:ext>
              </c:extLst>
              <c:f>Dashboard!$Q$17:$U$17</c:f>
              <c:numCache>
                <c:formatCode>"$"#,##0.0000</c:formatCode>
                <c:ptCount val="5"/>
                <c:pt idx="0">
                  <c:v>9.3192829446724898E-2</c:v>
                </c:pt>
                <c:pt idx="1">
                  <c:v>9.5973310582387394E-2</c:v>
                </c:pt>
                <c:pt idx="2">
                  <c:v>0.15173759161821962</c:v>
                </c:pt>
                <c:pt idx="3">
                  <c:v>0.14173326840367034</c:v>
                </c:pt>
                <c:pt idx="4">
                  <c:v>0.198712400627546</c:v>
                </c:pt>
              </c:numCache>
            </c:numRef>
          </c:val>
          <c:extLst>
            <c:ext xmlns:c16="http://schemas.microsoft.com/office/drawing/2014/chart" uri="{C3380CC4-5D6E-409C-BE32-E72D297353CC}">
              <c16:uniqueId val="{00000003-3673-4323-ACB2-16963F7BF264}"/>
            </c:ext>
          </c:extLst>
        </c:ser>
        <c:ser>
          <c:idx val="4"/>
          <c:order val="4"/>
          <c:tx>
            <c:strRef>
              <c:f>Dashboard!$N$18</c:f>
              <c:strCache>
                <c:ptCount val="1"/>
                <c:pt idx="0">
                  <c:v>Taxes &amp; fees</c:v>
                </c:pt>
              </c:strCache>
            </c:strRef>
          </c:tx>
          <c:spPr>
            <a:solidFill>
              <a:schemeClr val="accent5"/>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Dashboard!$O$18:$W$18</c15:sqref>
                  </c15:fullRef>
                </c:ext>
              </c:extLst>
              <c:f>Dashboard!$Q$18:$U$18</c:f>
              <c:numCache>
                <c:formatCode>"$"#,##0.0000</c:formatCode>
                <c:ptCount val="5"/>
                <c:pt idx="0">
                  <c:v>6.6894455254364354E-2</c:v>
                </c:pt>
                <c:pt idx="1">
                  <c:v>7.1671689512796871E-2</c:v>
                </c:pt>
                <c:pt idx="2">
                  <c:v>0.16583799088709342</c:v>
                </c:pt>
                <c:pt idx="3">
                  <c:v>0.1495671118900174</c:v>
                </c:pt>
                <c:pt idx="4">
                  <c:v>0.24525894544866175</c:v>
                </c:pt>
              </c:numCache>
            </c:numRef>
          </c:val>
          <c:extLst>
            <c:ext xmlns:c16="http://schemas.microsoft.com/office/drawing/2014/chart" uri="{C3380CC4-5D6E-409C-BE32-E72D297353CC}">
              <c16:uniqueId val="{00000004-3673-4323-ACB2-16963F7BF264}"/>
            </c:ext>
          </c:extLst>
        </c:ser>
        <c:ser>
          <c:idx val="5"/>
          <c:order val="5"/>
          <c:tx>
            <c:strRef>
              <c:f>Dashboard!$N$19</c:f>
              <c:strCache>
                <c:ptCount val="1"/>
                <c:pt idx="0">
                  <c:v>Maintenance</c:v>
                </c:pt>
              </c:strCache>
            </c:strRef>
          </c:tx>
          <c:spPr>
            <a:solidFill>
              <a:schemeClr val="accent6"/>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Dashboard!$O$19:$W$19</c15:sqref>
                  </c15:fullRef>
                </c:ext>
              </c:extLst>
              <c:f>Dashboard!$Q$19:$U$19</c:f>
              <c:numCache>
                <c:formatCode>"$"#,##0.0000</c:formatCode>
                <c:ptCount val="5"/>
                <c:pt idx="0">
                  <c:v>0.18911205928500896</c:v>
                </c:pt>
                <c:pt idx="1">
                  <c:v>0.18911205928500896</c:v>
                </c:pt>
                <c:pt idx="2">
                  <c:v>0.18911205928500896</c:v>
                </c:pt>
                <c:pt idx="3">
                  <c:v>0.18911205928500896</c:v>
                </c:pt>
                <c:pt idx="4">
                  <c:v>0.18911205928500896</c:v>
                </c:pt>
              </c:numCache>
            </c:numRef>
          </c:val>
          <c:extLst>
            <c:ext xmlns:c16="http://schemas.microsoft.com/office/drawing/2014/chart" uri="{C3380CC4-5D6E-409C-BE32-E72D297353CC}">
              <c16:uniqueId val="{00000005-3673-4323-ACB2-16963F7BF264}"/>
            </c:ext>
          </c:extLst>
        </c:ser>
        <c:ser>
          <c:idx val="6"/>
          <c:order val="6"/>
          <c:tx>
            <c:strRef>
              <c:f>Dashboard!$N$20</c:f>
              <c:strCache>
                <c:ptCount val="1"/>
                <c:pt idx="0">
                  <c:v>Repair</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Dashboard!$O$20:$W$20</c15:sqref>
                  </c15:fullRef>
                </c:ext>
              </c:extLst>
              <c:f>Dashboard!$Q$20:$U$20</c:f>
              <c:numCache>
                <c:formatCode>"$"#,##0.0000</c:formatCode>
                <c:ptCount val="5"/>
                <c:pt idx="0">
                  <c:v>0</c:v>
                </c:pt>
                <c:pt idx="1">
                  <c:v>0</c:v>
                </c:pt>
                <c:pt idx="2">
                  <c:v>0</c:v>
                </c:pt>
                <c:pt idx="3">
                  <c:v>0</c:v>
                </c:pt>
                <c:pt idx="4">
                  <c:v>0</c:v>
                </c:pt>
              </c:numCache>
            </c:numRef>
          </c:val>
          <c:extLst>
            <c:ext xmlns:c16="http://schemas.microsoft.com/office/drawing/2014/chart" uri="{C3380CC4-5D6E-409C-BE32-E72D297353CC}">
              <c16:uniqueId val="{00000006-3673-4323-ACB2-16963F7BF264}"/>
            </c:ext>
          </c:extLst>
        </c:ser>
        <c:ser>
          <c:idx val="7"/>
          <c:order val="7"/>
          <c:tx>
            <c:strRef>
              <c:f>Dashboard!$N$21</c:f>
              <c:strCache>
                <c:ptCount val="1"/>
                <c:pt idx="0">
                  <c:v>Operational</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Dashboard!$O$21:$W$21</c15:sqref>
                  </c15:fullRef>
                </c:ext>
              </c:extLst>
              <c:f>Dashboard!$Q$21:$U$21</c:f>
              <c:numCache>
                <c:formatCode>"$"#,##0.0000</c:formatCode>
                <c:ptCount val="5"/>
                <c:pt idx="0">
                  <c:v>0</c:v>
                </c:pt>
                <c:pt idx="1">
                  <c:v>6.3201312254383074E-3</c:v>
                </c:pt>
                <c:pt idx="2">
                  <c:v>0.18343953686004172</c:v>
                </c:pt>
                <c:pt idx="3">
                  <c:v>4.8336424418734585E-2</c:v>
                </c:pt>
                <c:pt idx="4">
                  <c:v>0.1606613702626811</c:v>
                </c:pt>
              </c:numCache>
            </c:numRef>
          </c:val>
          <c:extLst>
            <c:ext xmlns:c16="http://schemas.microsoft.com/office/drawing/2014/chart" uri="{C3380CC4-5D6E-409C-BE32-E72D297353CC}">
              <c16:uniqueId val="{00000007-3673-4323-ACB2-16963F7BF264}"/>
            </c:ext>
          </c:extLst>
        </c:ser>
        <c:ser>
          <c:idx val="9"/>
          <c:order val="8"/>
          <c:tx>
            <c:strRef>
              <c:f>Dashboard!$N$22</c:f>
              <c:strCache>
                <c:ptCount val="1"/>
                <c:pt idx="0">
                  <c:v>Labor</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Dashboard!$O$13:$W$13</c15:sqref>
                  </c15:fullRef>
                </c:ext>
              </c:extLst>
              <c:f>Dashboard!$Q$13:$U$13</c:f>
              <c:strCache>
                <c:ptCount val="5"/>
                <c:pt idx="0">
                  <c:v>ICE-CI</c:v>
                </c:pt>
                <c:pt idx="1">
                  <c:v>HEV</c:v>
                </c:pt>
                <c:pt idx="2">
                  <c:v>PHEV</c:v>
                </c:pt>
                <c:pt idx="3">
                  <c:v>FCEV</c:v>
                </c:pt>
                <c:pt idx="4">
                  <c:v>BEV</c:v>
                </c:pt>
              </c:strCache>
            </c:strRef>
          </c:cat>
          <c:val>
            <c:numRef>
              <c:extLst>
                <c:ext xmlns:c15="http://schemas.microsoft.com/office/drawing/2012/chart" uri="{02D57815-91ED-43cb-92C2-25804820EDAC}">
                  <c15:fullRef>
                    <c15:sqref>Dashboard!$O$22:$W$22</c15:sqref>
                  </c15:fullRef>
                </c:ext>
              </c:extLst>
              <c:f>Dashboard!$Q$22:$U$22</c:f>
              <c:numCache>
                <c:formatCode>"$"#,##0.0000</c:formatCode>
                <c:ptCount val="5"/>
                <c:pt idx="0">
                  <c:v>0.789968</c:v>
                </c:pt>
                <c:pt idx="1">
                  <c:v>0.789968</c:v>
                </c:pt>
                <c:pt idx="2">
                  <c:v>1.9463888692127276</c:v>
                </c:pt>
                <c:pt idx="3">
                  <c:v>0.789968</c:v>
                </c:pt>
                <c:pt idx="4">
                  <c:v>2.7030993522089362</c:v>
                </c:pt>
              </c:numCache>
            </c:numRef>
          </c:val>
          <c:extLst>
            <c:ext xmlns:c16="http://schemas.microsoft.com/office/drawing/2014/chart" uri="{C3380CC4-5D6E-409C-BE32-E72D297353CC}">
              <c16:uniqueId val="{00000008-3673-4323-ACB2-16963F7BF264}"/>
            </c:ext>
          </c:extLst>
        </c:ser>
        <c:dLbls>
          <c:showLegendKey val="0"/>
          <c:showVal val="0"/>
          <c:showCatName val="0"/>
          <c:showSerName val="0"/>
          <c:showPercent val="0"/>
          <c:showBubbleSize val="0"/>
        </c:dLbls>
        <c:gapWidth val="120"/>
        <c:overlap val="100"/>
        <c:axId val="719907416"/>
        <c:axId val="719909056"/>
      </c:barChart>
      <c:catAx>
        <c:axId val="719907416"/>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19909056"/>
        <c:crosses val="autoZero"/>
        <c:auto val="1"/>
        <c:lblAlgn val="ctr"/>
        <c:lblOffset val="100"/>
        <c:noMultiLvlLbl val="0"/>
      </c:catAx>
      <c:valAx>
        <c:axId val="71990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w="127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19907416"/>
        <c:crosses val="autoZero"/>
        <c:crossBetween val="between"/>
      </c:valAx>
      <c:spPr>
        <a:noFill/>
        <a:ln w="12700">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48" fmlaLink="Lists!$V$6" fmlaRange="Lists!$T$6:$T$22" noThreeD="1" sel="16" val="0"/>
</file>

<file path=xl/ctrlProps/ctrlProp2.xml><?xml version="1.0" encoding="utf-8"?>
<formControlPr xmlns="http://schemas.microsoft.com/office/spreadsheetml/2009/9/main" objectType="List" dx="48" fmlaLink="Lists!$F$12" fmlaRange="Lists!$B$6:$B$11" noThreeD="1" sel="6" val="0"/>
</file>

<file path=xl/ctrlProps/ctrlProp3.xml><?xml version="1.0" encoding="utf-8"?>
<formControlPr xmlns="http://schemas.microsoft.com/office/spreadsheetml/2009/9/main" objectType="List" dx="48" fmlaLink="Lists!$F$15" fmlaRange="Lists!$D$6:$D$15" noThreeD="1" sel="3" val="0"/>
</file>

<file path=xl/ctrlProps/ctrlProp4.xml><?xml version="1.0" encoding="utf-8"?>
<formControlPr xmlns="http://schemas.microsoft.com/office/spreadsheetml/2009/9/main" objectType="List" dx="48" fmlaLink="Lists!$V$6" fmlaRange="Lists!$T$6:$T$22" noThreeD="1" sel="16" val="0"/>
</file>

<file path=xl/ctrlProps/ctrlProp5.xml><?xml version="1.0" encoding="utf-8"?>
<formControlPr xmlns="http://schemas.microsoft.com/office/spreadsheetml/2009/9/main" objectType="List" dx="48" fmlaLink="Lists!$F$12" fmlaRange="Lists!$B$6:$B$11" noThreeD="1" sel="6" val="0"/>
</file>

<file path=xl/ctrlProps/ctrlProp6.xml><?xml version="1.0" encoding="utf-8"?>
<formControlPr xmlns="http://schemas.microsoft.com/office/spreadsheetml/2009/9/main" objectType="List" dx="48" fmlaLink="Lists!$F$15" fmlaRange="Lists!$D$6:$D$15" noThreeD="1" sel="3" val="0"/>
</file>

<file path=xl/ctrlProps/ctrlProp7.xml><?xml version="1.0" encoding="utf-8"?>
<formControlPr xmlns="http://schemas.microsoft.com/office/spreadsheetml/2009/9/main" objectType="List" dx="48" fmlaLink="Lists!$V$6" fmlaRange="Lists!$T$6:$T$22" noThreeD="1" sel="16" val="0"/>
</file>

<file path=xl/ctrlProps/ctrlProp8.xml><?xml version="1.0" encoding="utf-8"?>
<formControlPr xmlns="http://schemas.microsoft.com/office/spreadsheetml/2009/9/main" objectType="List" dx="48" fmlaLink="Lists!$F$12" fmlaRange="Lists!$B$6:$B$11" noThreeD="1" sel="6" val="0"/>
</file>

<file path=xl/ctrlProps/ctrlProp9.xml><?xml version="1.0" encoding="utf-8"?>
<formControlPr xmlns="http://schemas.microsoft.com/office/spreadsheetml/2009/9/main" objectType="List" dx="48" fmlaLink="Lists!$F$15" fmlaRange="Lists!$D$6:$D$15" noThreeD="1" sel="3" val="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2</xdr:row>
          <xdr:rowOff>28575</xdr:rowOff>
        </xdr:from>
        <xdr:to>
          <xdr:col>2</xdr:col>
          <xdr:colOff>447675</xdr:colOff>
          <xdr:row>15</xdr:row>
          <xdr:rowOff>142875</xdr:rowOff>
        </xdr:to>
        <xdr:sp macro="" textlink="">
          <xdr:nvSpPr>
            <xdr:cNvPr id="1027" name="List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28575</xdr:rowOff>
        </xdr:from>
        <xdr:to>
          <xdr:col>2</xdr:col>
          <xdr:colOff>447675</xdr:colOff>
          <xdr:row>23</xdr:row>
          <xdr:rowOff>180975</xdr:rowOff>
        </xdr:to>
        <xdr:sp macro="" textlink="">
          <xdr:nvSpPr>
            <xdr:cNvPr id="1033" name="List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26</xdr:row>
          <xdr:rowOff>9525</xdr:rowOff>
        </xdr:from>
        <xdr:to>
          <xdr:col>2</xdr:col>
          <xdr:colOff>428625</xdr:colOff>
          <xdr:row>30</xdr:row>
          <xdr:rowOff>142875</xdr:rowOff>
        </xdr:to>
        <xdr:sp macro="" textlink="">
          <xdr:nvSpPr>
            <xdr:cNvPr id="1035" name="List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34</xdr:col>
      <xdr:colOff>0</xdr:colOff>
      <xdr:row>2</xdr:row>
      <xdr:rowOff>0</xdr:rowOff>
    </xdr:from>
    <xdr:to>
      <xdr:col>41</xdr:col>
      <xdr:colOff>108392</xdr:colOff>
      <xdr:row>16</xdr:row>
      <xdr:rowOff>166662</xdr:rowOff>
    </xdr:to>
    <xdr:graphicFrame macro="">
      <xdr:nvGraphicFramePr>
        <xdr:cNvPr id="25" name="Chart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0</xdr:colOff>
      <xdr:row>18</xdr:row>
      <xdr:rowOff>0</xdr:rowOff>
    </xdr:from>
    <xdr:to>
      <xdr:col>41</xdr:col>
      <xdr:colOff>81498</xdr:colOff>
      <xdr:row>32</xdr:row>
      <xdr:rowOff>166663</xdr:rowOff>
    </xdr:to>
    <xdr:graphicFrame macro="">
      <xdr:nvGraphicFramePr>
        <xdr:cNvPr id="26" name="Chart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295836</xdr:colOff>
      <xdr:row>16</xdr:row>
      <xdr:rowOff>62754</xdr:rowOff>
    </xdr:from>
    <xdr:to>
      <xdr:col>20</xdr:col>
      <xdr:colOff>570605</xdr:colOff>
      <xdr:row>33</xdr:row>
      <xdr:rowOff>47514</xdr:rowOff>
    </xdr:to>
    <xdr:graphicFrame macro="">
      <xdr:nvGraphicFramePr>
        <xdr:cNvPr id="65" name="Chart 64">
          <a:extLst>
            <a:ext uri="{FF2B5EF4-FFF2-40B4-BE49-F238E27FC236}">
              <a16:creationId xmlns:a16="http://schemas.microsoft.com/office/drawing/2014/main" id="{00000000-0008-0000-00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34</xdr:row>
      <xdr:rowOff>0</xdr:rowOff>
    </xdr:from>
    <xdr:to>
      <xdr:col>4</xdr:col>
      <xdr:colOff>674513</xdr:colOff>
      <xdr:row>50</xdr:row>
      <xdr:rowOff>164868</xdr:rowOff>
    </xdr:to>
    <xdr:graphicFrame macro="">
      <xdr:nvGraphicFramePr>
        <xdr:cNvPr id="69" name="Chart 68">
          <a:extLst>
            <a:ext uri="{FF2B5EF4-FFF2-40B4-BE49-F238E27FC236}">
              <a16:creationId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34</xdr:row>
      <xdr:rowOff>0</xdr:rowOff>
    </xdr:from>
    <xdr:to>
      <xdr:col>16</xdr:col>
      <xdr:colOff>525779</xdr:colOff>
      <xdr:row>48</xdr:row>
      <xdr:rowOff>170329</xdr:rowOff>
    </xdr:to>
    <xdr:graphicFrame macro="">
      <xdr:nvGraphicFramePr>
        <xdr:cNvPr id="70" name="Chart 69">
          <a:extLst>
            <a:ext uri="{FF2B5EF4-FFF2-40B4-BE49-F238E27FC236}">
              <a16:creationId xmlns:a16="http://schemas.microsoft.com/office/drawing/2014/main"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52</xdr:row>
      <xdr:rowOff>2</xdr:rowOff>
    </xdr:from>
    <xdr:to>
      <xdr:col>8</xdr:col>
      <xdr:colOff>364414</xdr:colOff>
      <xdr:row>66</xdr:row>
      <xdr:rowOff>170329</xdr:rowOff>
    </xdr:to>
    <xdr:graphicFrame macro="">
      <xdr:nvGraphicFramePr>
        <xdr:cNvPr id="71" name="Chart 70">
          <a:extLst>
            <a:ext uri="{FF2B5EF4-FFF2-40B4-BE49-F238E27FC236}">
              <a16:creationId xmlns:a16="http://schemas.microsoft.com/office/drawing/2014/main" id="{00000000-0008-0000-00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52</xdr:row>
      <xdr:rowOff>0</xdr:rowOff>
    </xdr:from>
    <xdr:to>
      <xdr:col>16</xdr:col>
      <xdr:colOff>525779</xdr:colOff>
      <xdr:row>66</xdr:row>
      <xdr:rowOff>170326</xdr:rowOff>
    </xdr:to>
    <xdr:graphicFrame macro="">
      <xdr:nvGraphicFramePr>
        <xdr:cNvPr id="72" name="Chart 71">
          <a:extLst>
            <a:ext uri="{FF2B5EF4-FFF2-40B4-BE49-F238E27FC236}">
              <a16:creationId xmlns:a16="http://schemas.microsoft.com/office/drawing/2014/main" id="{00000000-0008-0000-00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1</xdr:row>
      <xdr:rowOff>0</xdr:rowOff>
    </xdr:from>
    <xdr:to>
      <xdr:col>33</xdr:col>
      <xdr:colOff>333793</xdr:colOff>
      <xdr:row>15</xdr:row>
      <xdr:rowOff>167557</xdr:rowOff>
    </xdr:to>
    <xdr:graphicFrame macro="">
      <xdr:nvGraphicFramePr>
        <xdr:cNvPr id="74" name="Chart 73">
          <a:extLst>
            <a:ext uri="{FF2B5EF4-FFF2-40B4-BE49-F238E27FC236}">
              <a16:creationId xmlns:a16="http://schemas.microsoft.com/office/drawing/2014/main" id="{00000000-0008-0000-00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0</xdr:colOff>
      <xdr:row>16</xdr:row>
      <xdr:rowOff>183775</xdr:rowOff>
    </xdr:from>
    <xdr:to>
      <xdr:col>33</xdr:col>
      <xdr:colOff>330064</xdr:colOff>
      <xdr:row>31</xdr:row>
      <xdr:rowOff>166662</xdr:rowOff>
    </xdr:to>
    <xdr:graphicFrame macro="">
      <xdr:nvGraphicFramePr>
        <xdr:cNvPr id="75" name="Chart 74">
          <a:extLst>
            <a:ext uri="{FF2B5EF4-FFF2-40B4-BE49-F238E27FC236}">
              <a16:creationId xmlns:a16="http://schemas.microsoft.com/office/drawing/2014/main" id="{00000000-0008-0000-00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80683</xdr:colOff>
      <xdr:row>0</xdr:row>
      <xdr:rowOff>67235</xdr:rowOff>
    </xdr:from>
    <xdr:to>
      <xdr:col>23</xdr:col>
      <xdr:colOff>606463</xdr:colOff>
      <xdr:row>15</xdr:row>
      <xdr:rowOff>53788</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0</xdr:colOff>
      <xdr:row>34</xdr:row>
      <xdr:rowOff>0</xdr:rowOff>
    </xdr:from>
    <xdr:to>
      <xdr:col>24</xdr:col>
      <xdr:colOff>534052</xdr:colOff>
      <xdr:row>48</xdr:row>
      <xdr:rowOff>170328</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xdr:row>
          <xdr:rowOff>47625</xdr:rowOff>
        </xdr:from>
        <xdr:to>
          <xdr:col>2</xdr:col>
          <xdr:colOff>533400</xdr:colOff>
          <xdr:row>16</xdr:row>
          <xdr:rowOff>104775</xdr:rowOff>
        </xdr:to>
        <xdr:sp macro="" textlink="">
          <xdr:nvSpPr>
            <xdr:cNvPr id="8200" name="List Box 8" hidden="1">
              <a:extLst>
                <a:ext uri="{63B3BB69-23CF-44E3-9099-C40C66FF867C}">
                  <a14:compatExt spid="_x0000_s8200"/>
                </a:ext>
                <a:ext uri="{FF2B5EF4-FFF2-40B4-BE49-F238E27FC236}">
                  <a16:creationId xmlns:a16="http://schemas.microsoft.com/office/drawing/2014/main" id="{00000000-0008-0000-0200-00000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19</xdr:row>
          <xdr:rowOff>9525</xdr:rowOff>
        </xdr:from>
        <xdr:to>
          <xdr:col>2</xdr:col>
          <xdr:colOff>533400</xdr:colOff>
          <xdr:row>23</xdr:row>
          <xdr:rowOff>152400</xdr:rowOff>
        </xdr:to>
        <xdr:sp macro="" textlink="">
          <xdr:nvSpPr>
            <xdr:cNvPr id="8227" name="List Box 35" hidden="1">
              <a:extLst>
                <a:ext uri="{63B3BB69-23CF-44E3-9099-C40C66FF867C}">
                  <a14:compatExt spid="_x0000_s8227"/>
                </a:ext>
                <a:ext uri="{FF2B5EF4-FFF2-40B4-BE49-F238E27FC236}">
                  <a16:creationId xmlns:a16="http://schemas.microsoft.com/office/drawing/2014/main" id="{00000000-0008-0000-0200-00002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0</xdr:colOff>
      <xdr:row>1</xdr:row>
      <xdr:rowOff>0</xdr:rowOff>
    </xdr:from>
    <xdr:to>
      <xdr:col>21</xdr:col>
      <xdr:colOff>284257</xdr:colOff>
      <xdr:row>18</xdr:row>
      <xdr:rowOff>47104</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1</xdr:row>
      <xdr:rowOff>0</xdr:rowOff>
    </xdr:from>
    <xdr:to>
      <xdr:col>30</xdr:col>
      <xdr:colOff>264057</xdr:colOff>
      <xdr:row>16</xdr:row>
      <xdr:rowOff>46512</xdr:rowOff>
    </xdr:to>
    <xdr:graphicFrame macro="">
      <xdr:nvGraphicFramePr>
        <xdr:cNvPr id="23" name="Chart 22">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20</xdr:row>
      <xdr:rowOff>0</xdr:rowOff>
    </xdr:from>
    <xdr:to>
      <xdr:col>30</xdr:col>
      <xdr:colOff>264057</xdr:colOff>
      <xdr:row>35</xdr:row>
      <xdr:rowOff>41564</xdr:rowOff>
    </xdr:to>
    <xdr:graphicFrame macro="">
      <xdr:nvGraphicFramePr>
        <xdr:cNvPr id="24" name="Chart 23">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20</xdr:row>
      <xdr:rowOff>0</xdr:rowOff>
    </xdr:from>
    <xdr:to>
      <xdr:col>21</xdr:col>
      <xdr:colOff>277330</xdr:colOff>
      <xdr:row>36</xdr:row>
      <xdr:rowOff>148046</xdr:rowOff>
    </xdr:to>
    <xdr:graphicFrame macro="">
      <xdr:nvGraphicFramePr>
        <xdr:cNvPr id="28" name="Chart 27">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38</xdr:row>
      <xdr:rowOff>0</xdr:rowOff>
    </xdr:from>
    <xdr:to>
      <xdr:col>24</xdr:col>
      <xdr:colOff>596921</xdr:colOff>
      <xdr:row>52</xdr:row>
      <xdr:rowOff>152400</xdr:rowOff>
    </xdr:to>
    <xdr:graphicFrame macro="">
      <xdr:nvGraphicFramePr>
        <xdr:cNvPr id="31" name="Chart 30">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28575</xdr:colOff>
          <xdr:row>26</xdr:row>
          <xdr:rowOff>9525</xdr:rowOff>
        </xdr:from>
        <xdr:to>
          <xdr:col>2</xdr:col>
          <xdr:colOff>533400</xdr:colOff>
          <xdr:row>30</xdr:row>
          <xdr:rowOff>161925</xdr:rowOff>
        </xdr:to>
        <xdr:sp macro="" textlink="">
          <xdr:nvSpPr>
            <xdr:cNvPr id="8233" name="List Box 41" hidden="1">
              <a:extLst>
                <a:ext uri="{63B3BB69-23CF-44E3-9099-C40C66FF867C}">
                  <a14:compatExt spid="_x0000_s8233"/>
                </a:ext>
                <a:ext uri="{FF2B5EF4-FFF2-40B4-BE49-F238E27FC236}">
                  <a16:creationId xmlns:a16="http://schemas.microsoft.com/office/drawing/2014/main" id="{00000000-0008-0000-0200-00002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xdr:row>
          <xdr:rowOff>47625</xdr:rowOff>
        </xdr:from>
        <xdr:to>
          <xdr:col>2</xdr:col>
          <xdr:colOff>533400</xdr:colOff>
          <xdr:row>16</xdr:row>
          <xdr:rowOff>104775</xdr:rowOff>
        </xdr:to>
        <xdr:sp macro="" textlink="">
          <xdr:nvSpPr>
            <xdr:cNvPr id="7173" name="List Box 5" hidden="1">
              <a:extLst>
                <a:ext uri="{63B3BB69-23CF-44E3-9099-C40C66FF867C}">
                  <a14:compatExt spid="_x0000_s7173"/>
                </a:ext>
                <a:ext uri="{FF2B5EF4-FFF2-40B4-BE49-F238E27FC236}">
                  <a16:creationId xmlns:a16="http://schemas.microsoft.com/office/drawing/2014/main" id="{00000000-0008-0000-0300-00000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18</xdr:row>
          <xdr:rowOff>180975</xdr:rowOff>
        </xdr:from>
        <xdr:to>
          <xdr:col>2</xdr:col>
          <xdr:colOff>523875</xdr:colOff>
          <xdr:row>23</xdr:row>
          <xdr:rowOff>142875</xdr:rowOff>
        </xdr:to>
        <xdr:sp macro="" textlink="">
          <xdr:nvSpPr>
            <xdr:cNvPr id="7186" name="List Box 18" hidden="1">
              <a:extLst>
                <a:ext uri="{63B3BB69-23CF-44E3-9099-C40C66FF867C}">
                  <a14:compatExt spid="_x0000_s7186"/>
                </a:ext>
                <a:ext uri="{FF2B5EF4-FFF2-40B4-BE49-F238E27FC236}">
                  <a16:creationId xmlns:a16="http://schemas.microsoft.com/office/drawing/2014/main" id="{00000000-0008-0000-0300-000012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0</xdr:colOff>
      <xdr:row>1</xdr:row>
      <xdr:rowOff>0</xdr:rowOff>
    </xdr:from>
    <xdr:to>
      <xdr:col>21</xdr:col>
      <xdr:colOff>295143</xdr:colOff>
      <xdr:row>18</xdr:row>
      <xdr:rowOff>116501</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13607</xdr:colOff>
      <xdr:row>1</xdr:row>
      <xdr:rowOff>0</xdr:rowOff>
    </xdr:from>
    <xdr:to>
      <xdr:col>30</xdr:col>
      <xdr:colOff>242286</xdr:colOff>
      <xdr:row>16</xdr:row>
      <xdr:rowOff>107744</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20</xdr:row>
      <xdr:rowOff>0</xdr:rowOff>
    </xdr:from>
    <xdr:to>
      <xdr:col>21</xdr:col>
      <xdr:colOff>281288</xdr:colOff>
      <xdr:row>37</xdr:row>
      <xdr:rowOff>47106</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20</xdr:row>
      <xdr:rowOff>0</xdr:rowOff>
    </xdr:from>
    <xdr:to>
      <xdr:col>30</xdr:col>
      <xdr:colOff>228679</xdr:colOff>
      <xdr:row>35</xdr:row>
      <xdr:rowOff>102796</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38</xdr:row>
      <xdr:rowOff>0</xdr:rowOff>
    </xdr:from>
    <xdr:to>
      <xdr:col>24</xdr:col>
      <xdr:colOff>600879</xdr:colOff>
      <xdr:row>53</xdr:row>
      <xdr:rowOff>41563</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9525</xdr:colOff>
          <xdr:row>26</xdr:row>
          <xdr:rowOff>0</xdr:rowOff>
        </xdr:from>
        <xdr:to>
          <xdr:col>2</xdr:col>
          <xdr:colOff>552450</xdr:colOff>
          <xdr:row>30</xdr:row>
          <xdr:rowOff>142875</xdr:rowOff>
        </xdr:to>
        <xdr:sp macro="" textlink="">
          <xdr:nvSpPr>
            <xdr:cNvPr id="7192" name="List Box 24" hidden="1">
              <a:extLst>
                <a:ext uri="{63B3BB69-23CF-44E3-9099-C40C66FF867C}">
                  <a14:compatExt spid="_x0000_s7192"/>
                </a:ext>
                <a:ext uri="{FF2B5EF4-FFF2-40B4-BE49-F238E27FC236}">
                  <a16:creationId xmlns:a16="http://schemas.microsoft.com/office/drawing/2014/main" id="{00000000-0008-0000-0300-000018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344804</xdr:colOff>
      <xdr:row>93</xdr:row>
      <xdr:rowOff>91440</xdr:rowOff>
    </xdr:from>
    <xdr:to>
      <xdr:col>16</xdr:col>
      <xdr:colOff>594360</xdr:colOff>
      <xdr:row>111</xdr:row>
      <xdr:rowOff>179070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508635</xdr:colOff>
      <xdr:row>23</xdr:row>
      <xdr:rowOff>6</xdr:rowOff>
    </xdr:from>
    <xdr:to>
      <xdr:col>17</xdr:col>
      <xdr:colOff>600075</xdr:colOff>
      <xdr:row>42</xdr:row>
      <xdr:rowOff>6</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6"/>
  <sheetViews>
    <sheetView tabSelected="1" topLeftCell="B1" zoomScale="85" zoomScaleNormal="85" workbookViewId="0">
      <selection activeCell="M12" sqref="M12"/>
    </sheetView>
  </sheetViews>
  <sheetFormatPr defaultRowHeight="14.25" x14ac:dyDescent="0.45"/>
  <cols>
    <col min="2" max="2" width="14" customWidth="1"/>
    <col min="3" max="5" width="9.86328125" bestFit="1" customWidth="1"/>
    <col min="6" max="6" width="8.86328125" customWidth="1"/>
    <col min="7" max="7" width="9.86328125" bestFit="1" customWidth="1"/>
    <col min="8" max="8" width="8.86328125" customWidth="1"/>
    <col min="9" max="14" width="9.86328125" bestFit="1" customWidth="1"/>
    <col min="15" max="15" width="9.86328125" customWidth="1"/>
    <col min="16" max="23" width="9.86328125" bestFit="1" customWidth="1"/>
    <col min="24" max="24" width="9.73046875" bestFit="1" customWidth="1"/>
    <col min="25" max="32" width="8.86328125" bestFit="1" customWidth="1"/>
  </cols>
  <sheetData>
    <row r="1" spans="2:31" x14ac:dyDescent="0.45">
      <c r="B1" s="23" t="s">
        <v>8</v>
      </c>
      <c r="E1" s="23" t="s">
        <v>200</v>
      </c>
      <c r="H1" s="23" t="s">
        <v>3</v>
      </c>
      <c r="K1" s="23" t="s">
        <v>352</v>
      </c>
      <c r="Q1" s="59" t="s">
        <v>529</v>
      </c>
      <c r="R1" s="2"/>
      <c r="S1" s="2"/>
      <c r="T1" s="2"/>
      <c r="U1" s="2"/>
      <c r="V1" s="2"/>
      <c r="W1" s="2"/>
    </row>
    <row r="2" spans="2:31" x14ac:dyDescent="0.45">
      <c r="B2" s="1" t="s">
        <v>153</v>
      </c>
      <c r="E2" s="1" t="s">
        <v>132</v>
      </c>
      <c r="H2" s="1" t="s">
        <v>11</v>
      </c>
      <c r="K2" s="1" t="s">
        <v>6</v>
      </c>
      <c r="N2" t="str">
        <f>CONCATENATE("Total ", $H$4, "-year Cost of Driving - ", $E$7, ", ", $B$3)</f>
        <v>Total 10-year Cost of Driving - 2020, Class 8 Bus</v>
      </c>
      <c r="O2" t="str">
        <f>B20</f>
        <v>BEV</v>
      </c>
      <c r="Q2" t="s">
        <v>43</v>
      </c>
      <c r="R2" t="s">
        <v>427</v>
      </c>
      <c r="S2" t="s">
        <v>44</v>
      </c>
      <c r="T2" t="s">
        <v>45</v>
      </c>
      <c r="U2" t="s">
        <v>46</v>
      </c>
      <c r="V2" t="s">
        <v>117</v>
      </c>
      <c r="W2" t="s">
        <v>138</v>
      </c>
    </row>
    <row r="3" spans="2:31" x14ac:dyDescent="0.45">
      <c r="B3" s="34" t="str">
        <f>Lists!$V$9</f>
        <v>Class 8 Bus</v>
      </c>
      <c r="E3" s="34" t="str">
        <f>IF(Lists!$V$6&gt;10,Inputs_HDV!E3,Inputs_LDV!E3)</f>
        <v>Autonomie simulations</v>
      </c>
      <c r="H3" s="34">
        <f>IF(Lists!$V$6&gt;10,Inputs_HDV!H3,Inputs_LDV!H3)</f>
        <v>0</v>
      </c>
      <c r="I3" t="s">
        <v>229</v>
      </c>
      <c r="K3" s="34" t="str">
        <f>IF(Lists!$V$6&gt;10,Inputs_HDV!K3,Inputs_LDV!K3)</f>
        <v>Tractor - Day Cab</v>
      </c>
      <c r="N3" t="s">
        <v>39</v>
      </c>
      <c r="O3" s="47">
        <f t="shared" ref="O3:O11" ca="1" si="0">AH46</f>
        <v>358472.63679710939</v>
      </c>
      <c r="P3" s="47"/>
      <c r="Q3" s="47">
        <v>103827.63313412482</v>
      </c>
      <c r="R3" s="47">
        <v>113082.66964124842</v>
      </c>
      <c r="S3" s="47">
        <v>298698.19141574175</v>
      </c>
      <c r="T3" s="47">
        <v>265398.0638255371</v>
      </c>
      <c r="U3" s="47">
        <v>455057.30736884766</v>
      </c>
      <c r="V3" s="47">
        <v>70075.316568693175</v>
      </c>
      <c r="W3" s="47">
        <v>74548.177983529837</v>
      </c>
    </row>
    <row r="4" spans="2:31" x14ac:dyDescent="0.45">
      <c r="B4">
        <f>MATCH($B$3,Lists!$T$6:$T$22,0)</f>
        <v>16</v>
      </c>
      <c r="H4" s="34">
        <f>IF(Lists!$V$6&gt;10,Inputs_HDV!H4,Inputs_LDV!H4)</f>
        <v>10</v>
      </c>
      <c r="I4" t="s">
        <v>228</v>
      </c>
      <c r="N4" t="s">
        <v>4</v>
      </c>
      <c r="O4" s="47">
        <f t="shared" ca="1" si="0"/>
        <v>44423.644118193981</v>
      </c>
      <c r="P4" s="47"/>
      <c r="Q4" s="47">
        <v>11120.382701680683</v>
      </c>
      <c r="R4" s="47">
        <v>12111.636617141614</v>
      </c>
      <c r="S4" s="47">
        <v>31991.851307561035</v>
      </c>
      <c r="T4" s="47">
        <v>28425.265499527573</v>
      </c>
      <c r="U4" s="47">
        <v>48738.580052199257</v>
      </c>
      <c r="V4" s="47">
        <v>8796.4441441848703</v>
      </c>
      <c r="W4" s="47">
        <v>9357.9153943606761</v>
      </c>
    </row>
    <row r="5" spans="2:31" x14ac:dyDescent="0.45">
      <c r="N5" t="s">
        <v>54</v>
      </c>
      <c r="O5" s="47">
        <f t="shared" ca="1" si="0"/>
        <v>74993.598553214921</v>
      </c>
      <c r="P5" s="47"/>
      <c r="Q5" s="47">
        <v>227404.6875487603</v>
      </c>
      <c r="R5" s="47">
        <v>228652.25818224286</v>
      </c>
      <c r="S5" s="47">
        <v>260590.42155599871</v>
      </c>
      <c r="T5" s="47">
        <v>1197291.1525751206</v>
      </c>
      <c r="U5" s="47">
        <v>175587.05585652462</v>
      </c>
      <c r="V5" s="47">
        <v>58637.500126913605</v>
      </c>
      <c r="W5" s="47">
        <v>78947.269068363486</v>
      </c>
    </row>
    <row r="6" spans="2:31" x14ac:dyDescent="0.45">
      <c r="E6" s="1" t="s">
        <v>98</v>
      </c>
      <c r="H6" s="1" t="s">
        <v>10</v>
      </c>
      <c r="K6" s="1" t="s">
        <v>201</v>
      </c>
      <c r="N6" t="s">
        <v>25</v>
      </c>
      <c r="O6" s="47">
        <f t="shared" ca="1" si="0"/>
        <v>283773.75864754181</v>
      </c>
      <c r="P6" s="47"/>
      <c r="Q6" s="47">
        <v>44356.629753569934</v>
      </c>
      <c r="R6" s="47">
        <v>45680.044580693218</v>
      </c>
      <c r="S6" s="47">
        <v>72221.953245398516</v>
      </c>
      <c r="T6" s="47">
        <v>67460.23430846585</v>
      </c>
      <c r="U6" s="47">
        <v>94580.370983562578</v>
      </c>
      <c r="V6" s="47">
        <v>40126.306076162102</v>
      </c>
      <c r="W6" s="47">
        <v>60189.45911424316</v>
      </c>
      <c r="Y6" t="s">
        <v>203</v>
      </c>
    </row>
    <row r="7" spans="2:31" x14ac:dyDescent="0.45">
      <c r="E7" s="34">
        <f>IF(Lists!$V$6&gt;10,Inputs_HDV!E7,Inputs_LDV!E7)</f>
        <v>2020</v>
      </c>
      <c r="H7" s="54">
        <f>IF(Lists!$V$6&gt;10,Inputs_HDV!H7,Inputs_LDV!H7)</f>
        <v>4.9999999999999996E-2</v>
      </c>
      <c r="K7" s="34" t="b">
        <f>IF(Lists!$V$6&gt;10,Inputs_HDV!K7,Inputs_LDV!K7)</f>
        <v>1</v>
      </c>
      <c r="N7" t="s">
        <v>41</v>
      </c>
      <c r="O7" s="47">
        <f t="shared" ca="1" si="0"/>
        <v>105937.32620614902</v>
      </c>
      <c r="P7" s="47"/>
      <c r="Q7" s="47">
        <v>31839.494539446761</v>
      </c>
      <c r="R7" s="47">
        <v>34113.29620965464</v>
      </c>
      <c r="S7" s="47">
        <v>78933.26562275787</v>
      </c>
      <c r="T7" s="47">
        <v>71188.878423407717</v>
      </c>
      <c r="U7" s="47">
        <v>116734.94947630452</v>
      </c>
      <c r="V7" s="47">
        <v>22693.636199774439</v>
      </c>
      <c r="W7" s="47">
        <v>23953.719889291475</v>
      </c>
      <c r="Z7" t="s">
        <v>204</v>
      </c>
      <c r="AA7" t="s">
        <v>206</v>
      </c>
      <c r="AD7" t="s">
        <v>204</v>
      </c>
      <c r="AE7" t="s">
        <v>206</v>
      </c>
    </row>
    <row r="8" spans="2:31" x14ac:dyDescent="0.45">
      <c r="N8" t="s">
        <v>23</v>
      </c>
      <c r="O8" s="47">
        <f t="shared" ca="1" si="0"/>
        <v>296930.70698738238</v>
      </c>
      <c r="P8" s="47"/>
      <c r="Q8" s="47">
        <v>90010.933732145684</v>
      </c>
      <c r="R8" s="47">
        <v>90010.933732145684</v>
      </c>
      <c r="S8" s="47">
        <v>90010.933732145684</v>
      </c>
      <c r="T8" s="47">
        <v>90010.933732145684</v>
      </c>
      <c r="U8" s="47">
        <v>90010.933732145684</v>
      </c>
      <c r="V8" s="47">
        <v>65328.44835839179</v>
      </c>
      <c r="W8" s="47">
        <v>372216.5458083846</v>
      </c>
      <c r="Y8" t="s">
        <v>221</v>
      </c>
      <c r="Z8" s="30">
        <f ca="1">SUM(O14:O22)</f>
        <v>4.4534593660966495</v>
      </c>
      <c r="AA8">
        <f ca="1">SUM(O3:O11)</f>
        <v>2138066.8396250946</v>
      </c>
      <c r="AC8" t="s">
        <v>205</v>
      </c>
      <c r="AD8">
        <v>1.258258290463377</v>
      </c>
      <c r="AE8">
        <v>442943.23198545014</v>
      </c>
    </row>
    <row r="9" spans="2:31" x14ac:dyDescent="0.45">
      <c r="N9" t="s">
        <v>40</v>
      </c>
      <c r="O9" s="47">
        <f t="shared" ca="1" si="0"/>
        <v>0</v>
      </c>
      <c r="P9" s="47"/>
      <c r="Q9" s="47">
        <v>0</v>
      </c>
      <c r="R9" s="47">
        <v>0</v>
      </c>
      <c r="S9" s="47">
        <v>0</v>
      </c>
      <c r="T9" s="47">
        <v>0</v>
      </c>
      <c r="U9" s="47">
        <v>0</v>
      </c>
      <c r="V9" s="47">
        <v>0</v>
      </c>
      <c r="W9" s="47">
        <v>0</v>
      </c>
      <c r="Z9" t="s">
        <v>207</v>
      </c>
      <c r="AA9" t="s">
        <v>209</v>
      </c>
      <c r="AB9" t="s">
        <v>210</v>
      </c>
      <c r="AC9" t="s">
        <v>208</v>
      </c>
      <c r="AD9" t="s">
        <v>219</v>
      </c>
      <c r="AE9" t="s">
        <v>220</v>
      </c>
    </row>
    <row r="10" spans="2:31" x14ac:dyDescent="0.45">
      <c r="E10" s="1" t="s">
        <v>152</v>
      </c>
      <c r="H10" s="1" t="s">
        <v>5</v>
      </c>
      <c r="K10" s="1" t="s">
        <v>460</v>
      </c>
      <c r="N10" t="s">
        <v>85</v>
      </c>
      <c r="O10" s="47">
        <f t="shared" ca="1" si="0"/>
        <v>12353.242129211727</v>
      </c>
      <c r="P10" s="47"/>
      <c r="Q10" s="47">
        <v>0</v>
      </c>
      <c r="R10" s="47">
        <v>3008.1683582855881</v>
      </c>
      <c r="S10" s="47">
        <v>87311.005224052322</v>
      </c>
      <c r="T10" s="47">
        <v>23006.50054604148</v>
      </c>
      <c r="U10" s="47">
        <v>76469.369572225187</v>
      </c>
      <c r="V10" s="47">
        <v>0</v>
      </c>
      <c r="W10" s="47">
        <v>0</v>
      </c>
      <c r="Y10" t="s">
        <v>211</v>
      </c>
      <c r="Z10" s="5">
        <v>1.2560833778686551</v>
      </c>
      <c r="AA10" s="5">
        <v>2.1749125947219117E-3</v>
      </c>
      <c r="AB10" s="5">
        <v>2.1749125947219117E-3</v>
      </c>
      <c r="AC10">
        <v>442182.01257729752</v>
      </c>
      <c r="AD10">
        <v>761.21940815262496</v>
      </c>
      <c r="AE10">
        <v>761.21940815262496</v>
      </c>
    </row>
    <row r="11" spans="2:31" x14ac:dyDescent="0.45">
      <c r="E11" s="34" t="str">
        <f>IF(Lists!$V$6&gt;10,Inputs_HDV!E11,Inputs_LDV!E11)</f>
        <v>High</v>
      </c>
      <c r="H11" s="34" t="str">
        <f>IF(Lists!$V$6&gt;10,Inputs_HDV!H11,Inputs_LDV!H11)</f>
        <v>User-defined</v>
      </c>
      <c r="K11" s="34" t="b">
        <f>IF(Lists!$V$6&gt;10,Inputs_HDV!K11,Inputs_LDV!K11)</f>
        <v>0</v>
      </c>
      <c r="N11" t="s">
        <v>87</v>
      </c>
      <c r="O11" s="47">
        <f t="shared" ca="1" si="0"/>
        <v>961181.92618629115</v>
      </c>
      <c r="P11" s="47"/>
      <c r="Q11" s="47">
        <v>375998.00651185791</v>
      </c>
      <c r="R11" s="47">
        <v>375998.00651185791</v>
      </c>
      <c r="S11" s="47">
        <v>926415.16456471011</v>
      </c>
      <c r="T11" s="47">
        <v>375998.00651185791</v>
      </c>
      <c r="U11" s="47">
        <v>1286583.7196368137</v>
      </c>
      <c r="V11" s="47">
        <v>110611.63918868125</v>
      </c>
      <c r="W11" s="47">
        <v>110611.63918868125</v>
      </c>
      <c r="Y11" t="s">
        <v>212</v>
      </c>
      <c r="Z11" s="5">
        <v>1.2445926003871075</v>
      </c>
      <c r="AA11" s="5">
        <v>1.3665690076269499E-2</v>
      </c>
      <c r="AB11" s="5">
        <v>1.3665690076269499E-2</v>
      </c>
      <c r="AC11">
        <v>438160.24045875581</v>
      </c>
      <c r="AD11">
        <v>4782.9915266943281</v>
      </c>
      <c r="AE11">
        <v>4782.9915266943281</v>
      </c>
    </row>
    <row r="12" spans="2:31" x14ac:dyDescent="0.45">
      <c r="N12" s="1" t="s">
        <v>327</v>
      </c>
      <c r="O12" s="100">
        <f ca="1">SUM(O3:O11)</f>
        <v>2138066.8396250946</v>
      </c>
      <c r="P12" s="101"/>
      <c r="Q12" s="101">
        <v>884557.76792158606</v>
      </c>
      <c r="R12" s="101">
        <v>902657.01383326994</v>
      </c>
      <c r="S12" s="101">
        <v>1846172.7866683658</v>
      </c>
      <c r="T12" s="101">
        <v>2118779.0354221039</v>
      </c>
      <c r="U12" s="101">
        <v>2343762.2866786234</v>
      </c>
      <c r="V12" s="101">
        <v>376269.29066280124</v>
      </c>
      <c r="W12" s="101">
        <v>729824.72644685453</v>
      </c>
      <c r="Y12" t="s">
        <v>213</v>
      </c>
      <c r="Z12" s="5">
        <v>1.1344245266451327</v>
      </c>
      <c r="AA12" s="5">
        <v>0.12383376381824429</v>
      </c>
      <c r="AB12" s="5">
        <v>0.12383376381824429</v>
      </c>
      <c r="AC12">
        <v>399601.41464906459</v>
      </c>
      <c r="AD12">
        <v>43341.817336385546</v>
      </c>
      <c r="AE12">
        <v>43341.817336385546</v>
      </c>
    </row>
    <row r="13" spans="2:31" x14ac:dyDescent="0.45">
      <c r="N13" t="str">
        <f>CONCATENATE("Average ", $H$4, "-year per-Mile Cost of Driving - ", $E$7, ", ", $B$3)</f>
        <v>Average 10-year per-Mile Cost of Driving - 2020, Class 8 Bus</v>
      </c>
      <c r="O13" t="str">
        <f>O2</f>
        <v>BEV</v>
      </c>
      <c r="Q13" t="s">
        <v>43</v>
      </c>
      <c r="R13" t="s">
        <v>427</v>
      </c>
      <c r="S13" t="s">
        <v>44</v>
      </c>
      <c r="T13" t="s">
        <v>45</v>
      </c>
      <c r="U13" t="s">
        <v>46</v>
      </c>
      <c r="V13" t="s">
        <v>117</v>
      </c>
      <c r="W13" t="s">
        <v>138</v>
      </c>
      <c r="Y13" t="s">
        <v>214</v>
      </c>
      <c r="Z13" s="5">
        <v>1.0893216973794657</v>
      </c>
      <c r="AA13" s="5">
        <v>0.16893659308391129</v>
      </c>
      <c r="AB13" s="5">
        <v>0.16893659308391129</v>
      </c>
      <c r="AC13">
        <v>383815.42440608121</v>
      </c>
      <c r="AD13">
        <v>59127.807579368935</v>
      </c>
      <c r="AE13">
        <v>59127.807579368935</v>
      </c>
    </row>
    <row r="14" spans="2:31" x14ac:dyDescent="0.45">
      <c r="E14" s="1" t="s">
        <v>163</v>
      </c>
      <c r="H14" s="1" t="s">
        <v>154</v>
      </c>
      <c r="K14" s="1" t="s">
        <v>89</v>
      </c>
      <c r="N14" t="s">
        <v>39</v>
      </c>
      <c r="O14" s="25">
        <f t="shared" ref="O14:O22" ca="1" si="1">AJ94</f>
        <v>0.74667605906716283</v>
      </c>
      <c r="P14" s="62"/>
      <c r="Q14" s="62">
        <v>0.21814080466171731</v>
      </c>
      <c r="R14" s="62">
        <v>0.23758554254021147</v>
      </c>
      <c r="S14" s="62">
        <v>0.62756187211026904</v>
      </c>
      <c r="T14" s="62">
        <v>0.5575986416234362</v>
      </c>
      <c r="U14" s="62">
        <v>0.9560707896365318</v>
      </c>
      <c r="V14" s="62">
        <v>0.50046503320241964</v>
      </c>
      <c r="W14" s="62">
        <v>0.5324093874500625</v>
      </c>
      <c r="Y14" t="s">
        <v>215</v>
      </c>
      <c r="Z14" s="5">
        <v>1.0611341065098081</v>
      </c>
      <c r="AA14" s="5">
        <v>0.1971241839535689</v>
      </c>
      <c r="AB14" s="5">
        <v>0.1971241839535689</v>
      </c>
      <c r="AC14">
        <v>373949.76760170102</v>
      </c>
      <c r="AD14">
        <v>68993.464383749117</v>
      </c>
      <c r="AE14">
        <v>68993.464383749117</v>
      </c>
    </row>
    <row r="15" spans="2:31" x14ac:dyDescent="0.45">
      <c r="E15" s="34">
        <f>Inputs_LDV!E15</f>
        <v>200</v>
      </c>
      <c r="H15" s="34" t="str">
        <f>IF(Lists!$V$6&gt;10,Inputs_HDV!H15,Inputs_LDV!H15)</f>
        <v>None</v>
      </c>
      <c r="K15" s="34" t="b">
        <f>IF(Lists!$V$6&gt;10,Inputs_HDV!K15,Inputs_LDV!K15)</f>
        <v>1</v>
      </c>
      <c r="N15" t="s">
        <v>4</v>
      </c>
      <c r="O15" s="25">
        <f t="shared" ca="1" si="1"/>
        <v>9.2531669407026562E-2</v>
      </c>
      <c r="P15" s="62"/>
      <c r="Q15" s="62">
        <v>2.336381132330349E-2</v>
      </c>
      <c r="R15" s="62">
        <v>2.5446425750846061E-2</v>
      </c>
      <c r="S15" s="62">
        <v>6.7214555279655058E-2</v>
      </c>
      <c r="T15" s="62">
        <v>5.9721194653255774E-2</v>
      </c>
      <c r="U15" s="62">
        <v>0.10239926260210505</v>
      </c>
      <c r="V15" s="62">
        <v>6.2822587556450468E-2</v>
      </c>
      <c r="W15" s="62">
        <v>6.6832512043712461E-2</v>
      </c>
      <c r="Y15" t="s">
        <v>216</v>
      </c>
      <c r="Z15" s="5">
        <v>1.0304252626010593</v>
      </c>
      <c r="AA15" s="5">
        <v>0.22783302786231774</v>
      </c>
      <c r="AB15" s="5">
        <v>0.22783302786231774</v>
      </c>
      <c r="AC15">
        <v>363201.67223363894</v>
      </c>
      <c r="AD15">
        <v>79741.559751811204</v>
      </c>
      <c r="AE15">
        <v>79741.559751811204</v>
      </c>
    </row>
    <row r="16" spans="2:31" x14ac:dyDescent="0.45">
      <c r="N16" t="s">
        <v>54</v>
      </c>
      <c r="O16" s="25">
        <f t="shared" ca="1" si="1"/>
        <v>0.15620697056069116</v>
      </c>
      <c r="P16" s="62"/>
      <c r="Q16" s="62">
        <v>0.47777494322394409</v>
      </c>
      <c r="R16" s="62">
        <v>0.48039607647763827</v>
      </c>
      <c r="S16" s="62">
        <v>0.5474978339526303</v>
      </c>
      <c r="T16" s="62">
        <v>2.5154965740161028</v>
      </c>
      <c r="U16" s="62">
        <v>0.3689066243400218</v>
      </c>
      <c r="V16" s="62">
        <v>0.41877825010116787</v>
      </c>
      <c r="W16" s="62">
        <v>0.56382688755758714</v>
      </c>
      <c r="Y16" t="s">
        <v>217</v>
      </c>
      <c r="Z16" s="5">
        <v>1.0036734411842854</v>
      </c>
      <c r="AA16" s="5">
        <v>0.25458484927909164</v>
      </c>
      <c r="AB16" s="5">
        <v>0.25458484927909164</v>
      </c>
      <c r="AC16">
        <v>353838.53473776806</v>
      </c>
      <c r="AD16">
        <v>89104.697247682081</v>
      </c>
      <c r="AE16">
        <v>89104.697247682081</v>
      </c>
    </row>
    <row r="17" spans="2:31" x14ac:dyDescent="0.45">
      <c r="N17" t="s">
        <v>25</v>
      </c>
      <c r="O17" s="25">
        <f t="shared" ca="1" si="1"/>
        <v>0.59108297265531018</v>
      </c>
      <c r="P17" s="62"/>
      <c r="Q17" s="62">
        <v>9.3192829446724898E-2</v>
      </c>
      <c r="R17" s="62">
        <v>9.5973310582387394E-2</v>
      </c>
      <c r="S17" s="62">
        <v>0.15173759161821962</v>
      </c>
      <c r="T17" s="62">
        <v>0.14173326840367034</v>
      </c>
      <c r="U17" s="62">
        <v>0.198712400627546</v>
      </c>
      <c r="V17" s="62">
        <v>0.28657470399025875</v>
      </c>
      <c r="W17" s="62">
        <v>0.42986205598538813</v>
      </c>
      <c r="Y17" t="s">
        <v>218</v>
      </c>
      <c r="Z17" s="5">
        <v>0.98786468565737495</v>
      </c>
      <c r="AA17" s="5">
        <v>0.27039360480600205</v>
      </c>
      <c r="AB17" s="5">
        <v>0.27039360480600205</v>
      </c>
      <c r="AC17">
        <v>348305.47030334943</v>
      </c>
      <c r="AD17">
        <v>94637.76168210071</v>
      </c>
      <c r="AE17">
        <v>94637.76168210071</v>
      </c>
    </row>
    <row r="18" spans="2:31" x14ac:dyDescent="0.45">
      <c r="E18" s="1" t="s">
        <v>184</v>
      </c>
      <c r="H18" s="52" t="s">
        <v>4</v>
      </c>
      <c r="K18" s="1" t="s">
        <v>458</v>
      </c>
      <c r="N18" t="s">
        <v>41</v>
      </c>
      <c r="O18" s="25">
        <f t="shared" ca="1" si="1"/>
        <v>0.2206608179259435</v>
      </c>
      <c r="P18" s="62"/>
      <c r="Q18" s="62">
        <v>6.6894455254364354E-2</v>
      </c>
      <c r="R18" s="62">
        <v>7.1671689512796871E-2</v>
      </c>
      <c r="S18" s="62">
        <v>0.16583799088709342</v>
      </c>
      <c r="T18" s="62">
        <v>0.1495671118900174</v>
      </c>
      <c r="U18" s="62">
        <v>0.24525894544866175</v>
      </c>
      <c r="V18" s="62">
        <v>0.16207377933241848</v>
      </c>
      <c r="W18" s="62">
        <v>0.17107306547754467</v>
      </c>
    </row>
    <row r="19" spans="2:31" x14ac:dyDescent="0.45">
      <c r="B19" s="1" t="s">
        <v>9</v>
      </c>
      <c r="E19" s="34" t="str">
        <f>Inputs_LDV!E19</f>
        <v>Long</v>
      </c>
      <c r="H19" s="34" t="b">
        <f>IF(H3&gt;0, FALSE, IF(Lists!$V$6&gt;10,Inputs_HDV!H19,Inputs_LDV!H19))</f>
        <v>1</v>
      </c>
      <c r="K19" s="34" t="b">
        <f>IF(Lists!$V$6&gt;10,Inputs_HDV!K19,Inputs_LDV!K19)</f>
        <v>1</v>
      </c>
      <c r="N19" t="s">
        <v>23</v>
      </c>
      <c r="O19" s="25">
        <f t="shared" ca="1" si="1"/>
        <v>0.61848807231233827</v>
      </c>
      <c r="P19" s="62"/>
      <c r="Q19" s="62">
        <v>0.18911205928500896</v>
      </c>
      <c r="R19" s="62">
        <v>0.18911205928500896</v>
      </c>
      <c r="S19" s="62">
        <v>0.18911205928500896</v>
      </c>
      <c r="T19" s="62">
        <v>0.18911205928500896</v>
      </c>
      <c r="U19" s="62">
        <v>0.18911205928500896</v>
      </c>
      <c r="V19" s="62">
        <v>0.46656377277575845</v>
      </c>
      <c r="W19" s="62">
        <v>2.6583021679805889</v>
      </c>
    </row>
    <row r="20" spans="2:31" x14ac:dyDescent="0.45">
      <c r="B20" s="34" t="str">
        <f>Lists!$F$6</f>
        <v>BEV</v>
      </c>
      <c r="N20" t="s">
        <v>40</v>
      </c>
      <c r="O20" s="25">
        <f t="shared" ca="1" si="1"/>
        <v>0</v>
      </c>
      <c r="P20" s="62"/>
      <c r="Q20" s="62">
        <v>0</v>
      </c>
      <c r="R20" s="62">
        <v>0</v>
      </c>
      <c r="S20" s="62">
        <v>0</v>
      </c>
      <c r="T20" s="62">
        <v>0</v>
      </c>
      <c r="U20" s="62">
        <v>0</v>
      </c>
      <c r="V20" s="62">
        <v>0</v>
      </c>
      <c r="W20" s="62">
        <v>0</v>
      </c>
      <c r="AB20" s="31"/>
    </row>
    <row r="21" spans="2:31" x14ac:dyDescent="0.45">
      <c r="N21" t="s">
        <v>85</v>
      </c>
      <c r="O21" s="25">
        <f t="shared" ca="1" si="1"/>
        <v>2.5731029939009945E-2</v>
      </c>
      <c r="P21" s="62"/>
      <c r="Q21" s="62">
        <v>0</v>
      </c>
      <c r="R21" s="62">
        <v>6.3201312254383074E-3</v>
      </c>
      <c r="S21" s="62">
        <v>0.18343953686004172</v>
      </c>
      <c r="T21" s="62">
        <v>4.8336424418734585E-2</v>
      </c>
      <c r="U21" s="62">
        <v>0.1606613702626811</v>
      </c>
      <c r="V21" s="62">
        <v>0</v>
      </c>
      <c r="W21" s="62">
        <v>0</v>
      </c>
      <c r="AB21" s="31"/>
    </row>
    <row r="22" spans="2:31" x14ac:dyDescent="0.45">
      <c r="E22" s="1" t="s">
        <v>423</v>
      </c>
      <c r="H22" s="52" t="s">
        <v>395</v>
      </c>
      <c r="K22" s="1" t="s">
        <v>527</v>
      </c>
      <c r="N22" t="s">
        <v>87</v>
      </c>
      <c r="O22" s="25">
        <f t="shared" ca="1" si="1"/>
        <v>2.002081774229167</v>
      </c>
      <c r="P22" s="62"/>
      <c r="Q22" s="62">
        <v>0.789968</v>
      </c>
      <c r="R22" s="62">
        <v>0.789968</v>
      </c>
      <c r="S22" s="62">
        <v>1.9463888692127276</v>
      </c>
      <c r="T22" s="62">
        <v>0.789968</v>
      </c>
      <c r="U22" s="62">
        <v>2.7030993522089362</v>
      </c>
      <c r="V22" s="62">
        <v>0.78996800000000023</v>
      </c>
      <c r="W22" s="62">
        <v>0.78996800000000023</v>
      </c>
      <c r="AB22" s="31"/>
    </row>
    <row r="23" spans="2:31" x14ac:dyDescent="0.45">
      <c r="E23" s="34" t="b">
        <f>Inputs_HDV!E15</f>
        <v>0</v>
      </c>
      <c r="H23" s="122">
        <f>IF(Lists!$V$6&gt;10,Inputs_HDV!H23,Inputs_LDV!H23)</f>
        <v>0.04</v>
      </c>
      <c r="K23" s="34" t="b">
        <f>IF(Lists!$V$6&gt;10,Inputs_HDV!K23,Inputs_LDV!K23)</f>
        <v>0</v>
      </c>
      <c r="N23" s="1" t="s">
        <v>327</v>
      </c>
      <c r="O23" s="55">
        <f ca="1">SUM(O14:O22)</f>
        <v>4.4534593660966495</v>
      </c>
      <c r="P23" s="62"/>
      <c r="Q23" s="62">
        <v>1.858446903195063</v>
      </c>
      <c r="R23" s="62">
        <v>1.8964732353743277</v>
      </c>
      <c r="S23" s="62">
        <v>3.8787903092056455</v>
      </c>
      <c r="T23" s="62">
        <v>4.4515332742902265</v>
      </c>
      <c r="U23" s="62">
        <v>4.9242208044114921</v>
      </c>
      <c r="V23" s="62">
        <v>2.687246126958474</v>
      </c>
      <c r="W23" s="62">
        <v>5.2122740764948841</v>
      </c>
      <c r="AB23" s="31"/>
    </row>
    <row r="24" spans="2:31" x14ac:dyDescent="0.45">
      <c r="AB24" s="31"/>
    </row>
    <row r="25" spans="2:31" x14ac:dyDescent="0.45">
      <c r="N25" t="str">
        <f>CONCATENATE("Non-discounted Cash Flow, ", $B$20, ", ", $B$3, ", MY", $E$7)</f>
        <v>Non-discounted Cash Flow, BEV, Class 8 Bus, MY2020</v>
      </c>
      <c r="AB25" s="31"/>
    </row>
    <row r="26" spans="2:31" x14ac:dyDescent="0.45">
      <c r="B26" s="1" t="s">
        <v>54</v>
      </c>
      <c r="H26" s="1" t="s">
        <v>194</v>
      </c>
      <c r="N26" t="str">
        <f>CONCATENATE("Discounted Cash Flow, ", $B$20, ", ", $B$3, ", MY", $E$7)</f>
        <v>Discounted Cash Flow, BEV, Class 8 Bus, MY2020</v>
      </c>
      <c r="AB26" s="31"/>
    </row>
    <row r="27" spans="2:31" x14ac:dyDescent="0.45">
      <c r="B27" s="34" t="str">
        <f>Lists!$F$9</f>
        <v>Diesel</v>
      </c>
      <c r="H27" s="34" t="str">
        <f>IF(Lists!$V$6&gt;10,Inputs_HDV!H27,Inputs_LDV!H27)</f>
        <v>Flat or incremental changes from first year</v>
      </c>
      <c r="N27" t="str">
        <f>CONCATENATE("Annual Cost of Ownership, ", $B$20, ", ", $B$3, ", MY", $E$7)</f>
        <v>Annual Cost of Ownership, BEV, Class 8 Bus, MY2020</v>
      </c>
      <c r="O27" s="25"/>
      <c r="AB27" s="31"/>
    </row>
    <row r="28" spans="2:31" x14ac:dyDescent="0.45">
      <c r="N28" t="str">
        <f>CONCATENATE("Per-Mile Cost of Ownership, ", $B$20, ", ", $B$3, ", MY", $E$7)</f>
        <v>Per-Mile Cost of Ownership, BEV, Class 8 Bus, MY2020</v>
      </c>
      <c r="O28" s="25"/>
      <c r="AB28" s="31"/>
    </row>
    <row r="29" spans="2:31" x14ac:dyDescent="0.45">
      <c r="N29" t="str">
        <f>CONCATENATE("Total Cost of Ownership, ", $B$20, ", ", $B$3, ", MY", $E$7)</f>
        <v>Total Cost of Ownership, BEV, Class 8 Bus, MY2020</v>
      </c>
      <c r="O29" s="25"/>
      <c r="AB29" s="31"/>
    </row>
    <row r="30" spans="2:31" x14ac:dyDescent="0.45">
      <c r="H30" s="1" t="s">
        <v>273</v>
      </c>
      <c r="N30" t="str">
        <f>CONCATENATE("Per-Mile Cost of Ownership, ", $B$20, ", ", $B$3, ", MY", $E$7)</f>
        <v>Per-Mile Cost of Ownership, BEV, Class 8 Bus, MY2020</v>
      </c>
      <c r="O30" s="25"/>
      <c r="AB30" s="31"/>
    </row>
    <row r="31" spans="2:31" x14ac:dyDescent="0.45">
      <c r="H31" s="34" t="str">
        <f>IF(Lists!$V$6&gt;10,Inputs_HDV!H31,Inputs_LDV!H31)</f>
        <v>Average</v>
      </c>
      <c r="N31" t="str">
        <f>CONCATENATE("Per-Mile Cost of Driving, by mileage, ", $B$20, ", MY", $E$7)</f>
        <v>Per-Mile Cost of Driving, by mileage, BEV, MY2020</v>
      </c>
      <c r="O31" s="25"/>
      <c r="AB31" s="31"/>
    </row>
    <row r="32" spans="2:31" x14ac:dyDescent="0.45">
      <c r="X32" s="25"/>
    </row>
    <row r="34" spans="1:35" x14ac:dyDescent="0.45">
      <c r="A34" s="134" t="s">
        <v>306</v>
      </c>
      <c r="B34" t="s">
        <v>0</v>
      </c>
      <c r="C34">
        <v>1</v>
      </c>
      <c r="D34">
        <v>2</v>
      </c>
      <c r="E34">
        <v>3</v>
      </c>
      <c r="F34">
        <v>4</v>
      </c>
      <c r="G34">
        <v>5</v>
      </c>
      <c r="H34">
        <v>6</v>
      </c>
      <c r="I34">
        <v>7</v>
      </c>
      <c r="J34">
        <v>8</v>
      </c>
      <c r="K34">
        <v>9</v>
      </c>
      <c r="L34">
        <v>10</v>
      </c>
      <c r="M34">
        <v>11</v>
      </c>
      <c r="N34">
        <v>12</v>
      </c>
      <c r="O34">
        <v>13</v>
      </c>
      <c r="P34">
        <v>14</v>
      </c>
      <c r="Q34">
        <v>15</v>
      </c>
      <c r="R34">
        <v>16</v>
      </c>
      <c r="S34">
        <v>17</v>
      </c>
      <c r="T34">
        <v>18</v>
      </c>
      <c r="U34">
        <v>19</v>
      </c>
      <c r="V34">
        <v>20</v>
      </c>
      <c r="W34">
        <v>21</v>
      </c>
      <c r="X34">
        <v>22</v>
      </c>
      <c r="Y34">
        <v>23</v>
      </c>
      <c r="Z34">
        <v>24</v>
      </c>
      <c r="AA34">
        <v>25</v>
      </c>
      <c r="AB34">
        <v>26</v>
      </c>
      <c r="AC34">
        <v>27</v>
      </c>
      <c r="AD34">
        <v>28</v>
      </c>
      <c r="AE34">
        <v>29</v>
      </c>
      <c r="AF34">
        <v>30</v>
      </c>
      <c r="AH34" t="s">
        <v>113</v>
      </c>
      <c r="AI34" t="s">
        <v>114</v>
      </c>
    </row>
    <row r="35" spans="1:35" x14ac:dyDescent="0.45">
      <c r="A35" s="135"/>
      <c r="B35" t="s">
        <v>39</v>
      </c>
      <c r="C35" s="12">
        <f ca="1">IF($H$19=TRUE,  Vehicle!C7,  IF(C$34=$H$3+1,ResidualValue!$P$1,0))   -   IF(C$34=$H$4,ResidualValue!$R$1,0)</f>
        <v>149135.258129058</v>
      </c>
      <c r="D35" s="12">
        <f ca="1">IF($H$19=TRUE,  Vehicle!D7,  IF(D$34=$H$3+1,ResidualValue!$P$1,0))   -   IF(D$34=$H$4,ResidualValue!$R$1,0)</f>
        <v>90672.391009052997</v>
      </c>
      <c r="E35" s="12">
        <f ca="1">IF($H$19=TRUE,  Vehicle!E7,  IF(E$34=$H$3+1,ResidualValue!$P$1,0))   -   IF(E$34=$H$4,ResidualValue!$R$1,0)</f>
        <v>90672.391009052997</v>
      </c>
      <c r="F35" s="12">
        <f ca="1">IF($H$19=TRUE,  Vehicle!F7,  IF(F$34=$H$3+1,ResidualValue!$P$1,0))   -   IF(F$34=$H$4,ResidualValue!$R$1,0)</f>
        <v>90672.391009052997</v>
      </c>
      <c r="G35" s="12">
        <f ca="1">IF($H$19=TRUE,  Vehicle!G7,  IF(G$34=$H$3+1,ResidualValue!$P$1,0))   -   IF(G$34=$H$4,ResidualValue!$R$1,0)</f>
        <v>90672.391009052997</v>
      </c>
      <c r="H35" s="12">
        <f ca="1">IF($H$19=TRUE,  Vehicle!H7,  IF(H$34=$H$3+1,ResidualValue!$P$1,0))   -   IF(H$34=$H$4,ResidualValue!$R$1,0)</f>
        <v>22668.097752263249</v>
      </c>
      <c r="I35" s="12">
        <f>IF($H$19=TRUE,  Vehicle!I7,  IF(I$34=$H$3+1,ResidualValue!$P$1,0))   -   IF(I$34=$H$4,ResidualValue!$R$1,0)</f>
        <v>0</v>
      </c>
      <c r="J35" s="12">
        <f>IF($H$19=TRUE,  Vehicle!J7,  IF(J$34=$H$3+1,ResidualValue!$P$1,0))   -   IF(J$34=$H$4,ResidualValue!$R$1,0)</f>
        <v>0</v>
      </c>
      <c r="K35" s="12">
        <f>IF($H$19=TRUE,  Vehicle!K7,  IF(K$34=$H$3+1,ResidualValue!$P$1,0))   -   IF(K$34=$H$4,ResidualValue!$R$1,0)</f>
        <v>0</v>
      </c>
      <c r="L35" s="12">
        <f ca="1">IF($H$19=TRUE,  Vehicle!L7,  IF(L$34=$H$3+1,ResidualValue!$P$1,0))   -   IF(L$34=$H$4,ResidualValue!$R$1,0)</f>
        <v>-201584.98650546934</v>
      </c>
      <c r="M35" s="12">
        <f>IF($H$19=TRUE,  Vehicle!M7,  IF(M$34=$H$3+1,ResidualValue!$P$1,0))   -   IF(M$34=$H$4,ResidualValue!$R$1,0)</f>
        <v>0</v>
      </c>
      <c r="N35" s="12">
        <f>IF($H$19=TRUE,  Vehicle!N7,  IF(N$34=$H$3+1,ResidualValue!$P$1,0))   -   IF(N$34=$H$4,ResidualValue!$R$1,0)</f>
        <v>0</v>
      </c>
      <c r="O35" s="12">
        <f>IF($H$19=TRUE,  Vehicle!O7,  IF(O$34=$H$3+1,ResidualValue!$P$1,0))   -   IF(O$34=$H$4,ResidualValue!$R$1,0)</f>
        <v>0</v>
      </c>
      <c r="P35" s="12">
        <f>IF($H$19=TRUE,  Vehicle!P7,  IF(P$34=$H$3+1,ResidualValue!$P$1,0))   -   IF(P$34=$H$4,ResidualValue!$R$1,0)</f>
        <v>0</v>
      </c>
      <c r="Q35" s="12">
        <f>IF($H$19=TRUE,  Vehicle!Q7,  IF(Q$34=$H$3+1,ResidualValue!$P$1,0))   -   IF(Q$34=$H$4,ResidualValue!$R$1,0)</f>
        <v>0</v>
      </c>
      <c r="R35" s="12">
        <f>IF($H$19=TRUE,  Vehicle!R7,  IF(R$34=$H$3+1,ResidualValue!$P$1,0))   -   IF(R$34=$H$4,ResidualValue!$R$1,0)</f>
        <v>0</v>
      </c>
      <c r="S35" s="12">
        <f>IF($H$19=TRUE,  Vehicle!S7,  IF(S$34=$H$3+1,ResidualValue!$P$1,0))   -   IF(S$34=$H$4,ResidualValue!$R$1,0)</f>
        <v>0</v>
      </c>
      <c r="T35" s="12">
        <f>IF($H$19=TRUE,  Vehicle!T7,  IF(T$34=$H$3+1,ResidualValue!$P$1,0))   -   IF(T$34=$H$4,ResidualValue!$R$1,0)</f>
        <v>0</v>
      </c>
      <c r="U35" s="12">
        <f>IF($H$19=TRUE,  Vehicle!U7,  IF(U$34=$H$3+1,ResidualValue!$P$1,0))   -   IF(U$34=$H$4,ResidualValue!$R$1,0)</f>
        <v>0</v>
      </c>
      <c r="V35" s="12">
        <f>IF($H$19=TRUE,  Vehicle!V7,  IF(V$34=$H$3+1,ResidualValue!$P$1,0))   -   IF(V$34=$H$4,ResidualValue!$R$1,0)</f>
        <v>0</v>
      </c>
      <c r="W35" s="12">
        <f>IF($H$19=TRUE,  Vehicle!W7,  IF(W$34=$H$3+1,ResidualValue!$P$1,0))   -   IF(W$34=$H$4,ResidualValue!$R$1,0)</f>
        <v>0</v>
      </c>
      <c r="X35" s="12">
        <f>IF($H$19=TRUE,  Vehicle!X7,  IF(X$34=$H$3+1,ResidualValue!$P$1,0))   -   IF(X$34=$H$4,ResidualValue!$R$1,0)</f>
        <v>0</v>
      </c>
      <c r="Y35" s="12">
        <f>IF($H$19=TRUE,  Vehicle!Y7,  IF(Y$34=$H$3+1,ResidualValue!$P$1,0))   -   IF(Y$34=$H$4,ResidualValue!$R$1,0)</f>
        <v>0</v>
      </c>
      <c r="Z35" s="12">
        <f>IF($H$19=TRUE,  Vehicle!Z7,  IF(Z$34=$H$3+1,ResidualValue!$P$1,0))   -   IF(Z$34=$H$4,ResidualValue!$R$1,0)</f>
        <v>0</v>
      </c>
      <c r="AA35" s="12">
        <f>IF($H$19=TRUE,  Vehicle!AA7,  IF(AA$34=$H$3+1,ResidualValue!$P$1,0))   -   IF(AA$34=$H$4,ResidualValue!$R$1,0)</f>
        <v>0</v>
      </c>
      <c r="AB35" s="12">
        <f>IF($H$19=TRUE,  Vehicle!AB7,  IF(AB$34=$H$3+1,ResidualValue!$P$1,0))   -   IF(AB$34=$H$4,ResidualValue!$R$1,0)</f>
        <v>0</v>
      </c>
      <c r="AC35" s="12">
        <f>IF($H$19=TRUE,  Vehicle!AC7,  IF(AC$34=$H$3+1,ResidualValue!$P$1,0))   -   IF(AC$34=$H$4,ResidualValue!$R$1,0)</f>
        <v>0</v>
      </c>
      <c r="AD35" s="12">
        <f>IF($H$19=TRUE,  Vehicle!AD7,  IF(AD$34=$H$3+1,ResidualValue!$P$1,0))   -   IF(AD$34=$H$4,ResidualValue!$R$1,0)</f>
        <v>0</v>
      </c>
      <c r="AE35" s="12">
        <f>IF($H$19=TRUE,  Vehicle!AE7,  IF(AE$34=$H$3+1,ResidualValue!$P$1,0))   -   IF(AE$34=$H$4,ResidualValue!$R$1,0)</f>
        <v>0</v>
      </c>
      <c r="AF35" s="12">
        <f>IF($H$19=TRUE,  Vehicle!AF7,  IF(AF$34=$H$3+1,ResidualValue!$P$1,0))   -   IF(AF$34=$H$4,ResidualValue!$R$1,0)</f>
        <v>0</v>
      </c>
      <c r="AH35">
        <f t="shared" ref="AH35:AH43" ca="1" si="2">SUMIFS($C35:$AF35,C$34:AF$34,"&lt;="&amp;$H$4,C$34:AF$34,"&gt;"&amp;$H$3)</f>
        <v>332907.93341206387</v>
      </c>
      <c r="AI35">
        <f t="shared" ref="AI35:AI43" ca="1" si="3">AH35/($H$4-$H$3)</f>
        <v>33290.793341206387</v>
      </c>
    </row>
    <row r="36" spans="1:35" x14ac:dyDescent="0.45">
      <c r="A36" s="135"/>
      <c r="B36" t="s">
        <v>4</v>
      </c>
      <c r="C36" s="12">
        <f ca="1">IF(C$34&lt;=$H$3, 0, IF(C$34&lt;=$H$4,Vehicle!C10,0))</f>
        <v>15786.090933882107</v>
      </c>
      <c r="D36" s="12">
        <f ca="1">IF(D$34&lt;=$H$3, 0, IF(D$34&lt;=$H$4,Vehicle!D10,0))</f>
        <v>12735.107525265281</v>
      </c>
      <c r="E36" s="12">
        <f ca="1">IF(E$34&lt;=$H$3, 0, IF(E$34&lt;=$H$4,Vehicle!E10,0))</f>
        <v>9559.8223451587401</v>
      </c>
      <c r="F36" s="12">
        <f ca="1">IF(F$34&lt;=$H$3, 0, IF(F$34&lt;=$H$4,Vehicle!F10,0))</f>
        <v>6255.1711476042983</v>
      </c>
      <c r="G36" s="12">
        <f ca="1">IF(G$34&lt;=$H$3, 0, IF(G$34&lt;=$H$4,Vehicle!G10,0))</f>
        <v>2815.8833614497707</v>
      </c>
      <c r="H36" s="12">
        <f ca="1">IF(H$34&lt;=$H$3, 0, IF(H$34&lt;=$H$4,Vehicle!H10,0))</f>
        <v>150.28527079805281</v>
      </c>
      <c r="I36" s="12">
        <f ca="1">IF(I$34&lt;=$H$3, 0, IF(I$34&lt;=$H$4,Vehicle!I10,0))</f>
        <v>0</v>
      </c>
      <c r="J36" s="12">
        <f ca="1">IF(J$34&lt;=$H$3, 0, IF(J$34&lt;=$H$4,Vehicle!J10,0))</f>
        <v>0</v>
      </c>
      <c r="K36" s="12">
        <f ca="1">IF(K$34&lt;=$H$3, 0, IF(K$34&lt;=$H$4,Vehicle!K10,0))</f>
        <v>0</v>
      </c>
      <c r="L36" s="12">
        <f ca="1">IF(L$34&lt;=$H$3, 0, IF(L$34&lt;=$H$4,Vehicle!L10,0))</f>
        <v>0</v>
      </c>
      <c r="M36" s="12">
        <f>IF(M$34&lt;=$H$3, 0, IF(M$34&lt;=$H$4,Vehicle!M10,0))</f>
        <v>0</v>
      </c>
      <c r="N36" s="12">
        <f>IF(N$34&lt;=$H$3, 0, IF(N$34&lt;=$H$4,Vehicle!N10,0))</f>
        <v>0</v>
      </c>
      <c r="O36" s="12">
        <f>IF(O$34&lt;=$H$3, 0, IF(O$34&lt;=$H$4,Vehicle!O10,0))</f>
        <v>0</v>
      </c>
      <c r="P36" s="12">
        <f>IF(P$34&lt;=$H$3, 0, IF(P$34&lt;=$H$4,Vehicle!P10,0))</f>
        <v>0</v>
      </c>
      <c r="Q36" s="12">
        <f>IF(Q$34&lt;=$H$3, 0, IF(Q$34&lt;=$H$4,Vehicle!Q10,0))</f>
        <v>0</v>
      </c>
      <c r="R36" s="12">
        <f>IF(R$34&lt;=$H$3, 0, IF(R$34&lt;=$H$4,Vehicle!R10,0))</f>
        <v>0</v>
      </c>
      <c r="S36" s="12">
        <f>IF(S$34&lt;=$H$3, 0, IF(S$34&lt;=$H$4,Vehicle!S10,0))</f>
        <v>0</v>
      </c>
      <c r="T36" s="12">
        <f>IF(T$34&lt;=$H$3, 0, IF(T$34&lt;=$H$4,Vehicle!T10,0))</f>
        <v>0</v>
      </c>
      <c r="U36" s="12">
        <f>IF(U$34&lt;=$H$3, 0, IF(U$34&lt;=$H$4,Vehicle!U10,0))</f>
        <v>0</v>
      </c>
      <c r="V36" s="12">
        <f>IF(V$34&lt;=$H$3, 0, IF(V$34&lt;=$H$4,Vehicle!V10,0))</f>
        <v>0</v>
      </c>
      <c r="W36" s="12">
        <f>IF(W$34&lt;=$H$3, 0, IF(W$34&lt;=$H$4,Vehicle!W10,0))</f>
        <v>0</v>
      </c>
      <c r="X36" s="12">
        <f>IF(X$34&lt;=$H$3, 0, IF(X$34&lt;=$H$4,Vehicle!X10,0))</f>
        <v>0</v>
      </c>
      <c r="Y36" s="12">
        <f>IF(Y$34&lt;=$H$3, 0, IF(Y$34&lt;=$H$4,Vehicle!Y10,0))</f>
        <v>0</v>
      </c>
      <c r="Z36" s="12">
        <f>IF(Z$34&lt;=$H$3, 0, IF(Z$34&lt;=$H$4,Vehicle!Z10,0))</f>
        <v>0</v>
      </c>
      <c r="AA36" s="12">
        <f>IF(AA$34&lt;=$H$3, 0, IF(AA$34&lt;=$H$4,Vehicle!AA10,0))</f>
        <v>0</v>
      </c>
      <c r="AB36" s="12">
        <f>IF(AB$34&lt;=$H$3, 0, IF(AB$34&lt;=$H$4,Vehicle!AB10,0))</f>
        <v>0</v>
      </c>
      <c r="AC36" s="12">
        <f>IF(AC$34&lt;=$H$3, 0, IF(AC$34&lt;=$H$4,Vehicle!AC10,0))</f>
        <v>0</v>
      </c>
      <c r="AD36" s="12">
        <f>IF(AD$34&lt;=$H$3, 0, IF(AD$34&lt;=$H$4,Vehicle!AD10,0))</f>
        <v>0</v>
      </c>
      <c r="AE36" s="12">
        <f>IF(AE$34&lt;=$H$3, 0, IF(AE$34&lt;=$H$4,Vehicle!AE10,0))</f>
        <v>0</v>
      </c>
      <c r="AF36" s="12">
        <f>IF(AF$34&lt;=$H$3, 0, IF(AF$34&lt;=$H$4,Vehicle!AF10,0))</f>
        <v>0</v>
      </c>
      <c r="AH36">
        <f t="shared" ca="1" si="2"/>
        <v>47302.360584158247</v>
      </c>
      <c r="AI36">
        <f t="shared" ca="1" si="3"/>
        <v>4730.236058415825</v>
      </c>
    </row>
    <row r="37" spans="1:35" x14ac:dyDescent="0.45">
      <c r="A37" s="135"/>
      <c r="B37" t="s">
        <v>54</v>
      </c>
      <c r="C37" s="12">
        <f ca="1">IF(C$34&lt;=$H$3,0,IF(C$34&lt;=$H$4,'Fuel Prices'!C6,0))</f>
        <v>11565.449659918078</v>
      </c>
      <c r="D37" s="12">
        <f ca="1">IF(D$34&lt;=$H$3,0,IF(D$34&lt;=$H$4,'Fuel Prices'!D6,0))</f>
        <v>11477.937535128354</v>
      </c>
      <c r="E37" s="12">
        <f ca="1">IF(E$34&lt;=$H$3,0,IF(E$34&lt;=$H$4,'Fuel Prices'!E6,0))</f>
        <v>11177.500904984699</v>
      </c>
      <c r="F37" s="12">
        <f ca="1">IF(F$34&lt;=$H$3,0,IF(F$34&lt;=$H$4,'Fuel Prices'!F6,0))</f>
        <v>10696.345148099797</v>
      </c>
      <c r="G37" s="12">
        <f ca="1">IF(G$34&lt;=$H$3,0,IF(G$34&lt;=$H$4,'Fuel Prices'!G6,0))</f>
        <v>9594.9925362714985</v>
      </c>
      <c r="H37" s="12">
        <f ca="1">IF(H$34&lt;=$H$3,0,IF(H$34&lt;=$H$4,'Fuel Prices'!H6,0))</f>
        <v>8607.0410496674085</v>
      </c>
      <c r="I37" s="12">
        <f ca="1">IF(I$34&lt;=$H$3,0,IF(I$34&lt;=$H$4,'Fuel Prices'!I6,0))</f>
        <v>7720.8143050257031</v>
      </c>
      <c r="J37" s="12">
        <f ca="1">IF(J$34&lt;=$H$3,0,IF(J$34&lt;=$H$4,'Fuel Prices'!J6,0))</f>
        <v>6925.8381816353731</v>
      </c>
      <c r="K37" s="12">
        <f ca="1">IF(K$34&lt;=$H$3,0,IF(K$34&lt;=$H$4,'Fuel Prices'!K6,0))</f>
        <v>6212.717029986733</v>
      </c>
      <c r="L37" s="12">
        <f ca="1">IF(L$34&lt;=$H$3,0,IF(L$34&lt;=$H$4,'Fuel Prices'!L6,0))</f>
        <v>5573.0226266379796</v>
      </c>
      <c r="M37" s="12">
        <f>IF(M$34&lt;=$H$3,0,IF(M$34&lt;=$H$4,'Fuel Prices'!M6,0))</f>
        <v>0</v>
      </c>
      <c r="N37" s="12">
        <f>IF(N$34&lt;=$H$3,0,IF(N$34&lt;=$H$4,'Fuel Prices'!N6,0))</f>
        <v>0</v>
      </c>
      <c r="O37" s="12">
        <f>IF(O$34&lt;=$H$3,0,IF(O$34&lt;=$H$4,'Fuel Prices'!O6,0))</f>
        <v>0</v>
      </c>
      <c r="P37" s="12">
        <f>IF(P$34&lt;=$H$3,0,IF(P$34&lt;=$H$4,'Fuel Prices'!P6,0))</f>
        <v>0</v>
      </c>
      <c r="Q37" s="12">
        <f>IF(Q$34&lt;=$H$3,0,IF(Q$34&lt;=$H$4,'Fuel Prices'!Q6,0))</f>
        <v>0</v>
      </c>
      <c r="R37" s="12">
        <f>IF(R$34&lt;=$H$3,0,IF(R$34&lt;=$H$4,'Fuel Prices'!R6,0))</f>
        <v>0</v>
      </c>
      <c r="S37" s="12">
        <f>IF(S$34&lt;=$H$3,0,IF(S$34&lt;=$H$4,'Fuel Prices'!S6,0))</f>
        <v>0</v>
      </c>
      <c r="T37" s="12">
        <f>IF(T$34&lt;=$H$3,0,IF(T$34&lt;=$H$4,'Fuel Prices'!T6,0))</f>
        <v>0</v>
      </c>
      <c r="U37" s="12">
        <f>IF(U$34&lt;=$H$3,0,IF(U$34&lt;=$H$4,'Fuel Prices'!U6,0))</f>
        <v>0</v>
      </c>
      <c r="V37" s="12">
        <f>IF(V$34&lt;=$H$3,0,IF(V$34&lt;=$H$4,'Fuel Prices'!V6,0))</f>
        <v>0</v>
      </c>
      <c r="W37" s="12">
        <f>IF(W$34&lt;=$H$3,0,IF(W$34&lt;=$H$4,'Fuel Prices'!W6,0))</f>
        <v>0</v>
      </c>
      <c r="X37" s="12">
        <f>IF(X$34&lt;=$H$3,0,IF(X$34&lt;=$H$4,'Fuel Prices'!X6,0))</f>
        <v>0</v>
      </c>
      <c r="Y37" s="12">
        <f>IF(Y$34&lt;=$H$3,0,IF(Y$34&lt;=$H$4,'Fuel Prices'!Y6,0))</f>
        <v>0</v>
      </c>
      <c r="Z37" s="12">
        <f>IF(Z$34&lt;=$H$3,0,IF(Z$34&lt;=$H$4,'Fuel Prices'!Z6,0))</f>
        <v>0</v>
      </c>
      <c r="AA37" s="12">
        <f>IF(AA$34&lt;=$H$3,0,IF(AA$34&lt;=$H$4,'Fuel Prices'!AA6,0))</f>
        <v>0</v>
      </c>
      <c r="AB37" s="12">
        <f>IF(AB$34&lt;=$H$3,0,IF(AB$34&lt;=$H$4,'Fuel Prices'!AB6,0))</f>
        <v>0</v>
      </c>
      <c r="AC37" s="12">
        <f>IF(AC$34&lt;=$H$3,0,IF(AC$34&lt;=$H$4,'Fuel Prices'!AC6,0))</f>
        <v>0</v>
      </c>
      <c r="AD37" s="12">
        <f>IF(AD$34&lt;=$H$3,0,IF(AD$34&lt;=$H$4,'Fuel Prices'!AD6,0))</f>
        <v>0</v>
      </c>
      <c r="AE37" s="12">
        <f>IF(AE$34&lt;=$H$3,0,IF(AE$34&lt;=$H$4,'Fuel Prices'!AE6,0))</f>
        <v>0</v>
      </c>
      <c r="AF37" s="12">
        <f>IF(AF$34&lt;=$H$3,0,IF(AF$34&lt;=$H$4,'Fuel Prices'!AF6,0))</f>
        <v>0</v>
      </c>
      <c r="AH37">
        <f t="shared" ca="1" si="2"/>
        <v>89551.658977355619</v>
      </c>
      <c r="AI37">
        <f t="shared" ca="1" si="3"/>
        <v>8955.1658977355619</v>
      </c>
    </row>
    <row r="38" spans="1:35" x14ac:dyDescent="0.45">
      <c r="A38" s="135"/>
      <c r="B38" t="s">
        <v>25</v>
      </c>
      <c r="C38" s="12">
        <f ca="1">IF(C$34&lt;=$H$3,0,IF(C$34&lt;=$H$4,Insurance!C4,0))</f>
        <v>35000</v>
      </c>
      <c r="D38" s="12">
        <f ca="1">IF(D$34&lt;=$H$3,0,IF(D$34&lt;=$H$4,Insurance!D4,0))</f>
        <v>35000</v>
      </c>
      <c r="E38" s="12">
        <f ca="1">IF(E$34&lt;=$H$3,0,IF(E$34&lt;=$H$4,Insurance!E4,0))</f>
        <v>35000</v>
      </c>
      <c r="F38" s="12">
        <f ca="1">IF(F$34&lt;=$H$3,0,IF(F$34&lt;=$H$4,Insurance!F4,0))</f>
        <v>35000</v>
      </c>
      <c r="G38" s="12">
        <f ca="1">IF(G$34&lt;=$H$3,0,IF(G$34&lt;=$H$4,Insurance!G4,0))</f>
        <v>35000</v>
      </c>
      <c r="H38" s="12">
        <f ca="1">IF(H$34&lt;=$H$3,0,IF(H$34&lt;=$H$4,Insurance!H4,0))</f>
        <v>35000</v>
      </c>
      <c r="I38" s="12">
        <f ca="1">IF(I$34&lt;=$H$3,0,IF(I$34&lt;=$H$4,Insurance!I4,0))</f>
        <v>35000</v>
      </c>
      <c r="J38" s="12">
        <f ca="1">IF(J$34&lt;=$H$3,0,IF(J$34&lt;=$H$4,Insurance!J4,0))</f>
        <v>35000</v>
      </c>
      <c r="K38" s="12">
        <f ca="1">IF(K$34&lt;=$H$3,0,IF(K$34&lt;=$H$4,Insurance!K4,0))</f>
        <v>35000</v>
      </c>
      <c r="L38" s="12">
        <f ca="1">IF(L$34&lt;=$H$3,0,IF(L$34&lt;=$H$4,Insurance!L4,0))</f>
        <v>35000</v>
      </c>
      <c r="M38" s="12">
        <f>IF(M$34&lt;=$H$3,0,IF(M$34&lt;=$H$4,Insurance!M4,0))</f>
        <v>0</v>
      </c>
      <c r="N38" s="12">
        <f>IF(N$34&lt;=$H$3,0,IF(N$34&lt;=$H$4,Insurance!N4,0))</f>
        <v>0</v>
      </c>
      <c r="O38" s="12">
        <f>IF(O$34&lt;=$H$3,0,IF(O$34&lt;=$H$4,Insurance!O4,0))</f>
        <v>0</v>
      </c>
      <c r="P38" s="12">
        <f>IF(P$34&lt;=$H$3,0,IF(P$34&lt;=$H$4,Insurance!P4,0))</f>
        <v>0</v>
      </c>
      <c r="Q38" s="12">
        <f>IF(Q$34&lt;=$H$3,0,IF(Q$34&lt;=$H$4,Insurance!Q4,0))</f>
        <v>0</v>
      </c>
      <c r="R38" s="12">
        <f>IF(R$34&lt;=$H$3,0,IF(R$34&lt;=$H$4,Insurance!R4,0))</f>
        <v>0</v>
      </c>
      <c r="S38" s="12">
        <f>IF(S$34&lt;=$H$3,0,IF(S$34&lt;=$H$4,Insurance!S4,0))</f>
        <v>0</v>
      </c>
      <c r="T38" s="12">
        <f>IF(T$34&lt;=$H$3,0,IF(T$34&lt;=$H$4,Insurance!T4,0))</f>
        <v>0</v>
      </c>
      <c r="U38" s="12">
        <f>IF(U$34&lt;=$H$3,0,IF(U$34&lt;=$H$4,Insurance!U4,0))</f>
        <v>0</v>
      </c>
      <c r="V38" s="12">
        <f>IF(V$34&lt;=$H$3,0,IF(V$34&lt;=$H$4,Insurance!V4,0))</f>
        <v>0</v>
      </c>
      <c r="W38" s="12">
        <f>IF(W$34&lt;=$H$3,0,IF(W$34&lt;=$H$4,Insurance!W4,0))</f>
        <v>0</v>
      </c>
      <c r="X38" s="12">
        <f>IF(X$34&lt;=$H$3,0,IF(X$34&lt;=$H$4,Insurance!X4,0))</f>
        <v>0</v>
      </c>
      <c r="Y38" s="12">
        <f>IF(Y$34&lt;=$H$3,0,IF(Y$34&lt;=$H$4,Insurance!Y4,0))</f>
        <v>0</v>
      </c>
      <c r="Z38" s="12">
        <f>IF(Z$34&lt;=$H$3,0,IF(Z$34&lt;=$H$4,Insurance!Z4,0))</f>
        <v>0</v>
      </c>
      <c r="AA38" s="12">
        <f>IF(AA$34&lt;=$H$3,0,IF(AA$34&lt;=$H$4,Insurance!AA4,0))</f>
        <v>0</v>
      </c>
      <c r="AB38" s="12">
        <f>IF(AB$34&lt;=$H$3,0,IF(AB$34&lt;=$H$4,Insurance!AB4,0))</f>
        <v>0</v>
      </c>
      <c r="AC38" s="12">
        <f>IF(AC$34&lt;=$H$3,0,IF(AC$34&lt;=$H$4,Insurance!AC4,0))</f>
        <v>0</v>
      </c>
      <c r="AD38" s="12">
        <f>IF(AD$34&lt;=$H$3,0,IF(AD$34&lt;=$H$4,Insurance!AD4,0))</f>
        <v>0</v>
      </c>
      <c r="AE38" s="12">
        <f>IF(AE$34&lt;=$H$3,0,IF(AE$34&lt;=$H$4,Insurance!AE4,0))</f>
        <v>0</v>
      </c>
      <c r="AF38" s="12">
        <f>IF(AF$34&lt;=$H$3,0,IF(AF$34&lt;=$H$4,Insurance!AF4,0))</f>
        <v>0</v>
      </c>
      <c r="AH38">
        <f t="shared" ca="1" si="2"/>
        <v>350000</v>
      </c>
      <c r="AI38">
        <f t="shared" ca="1" si="3"/>
        <v>35000</v>
      </c>
    </row>
    <row r="39" spans="1:35" x14ac:dyDescent="0.45">
      <c r="A39" s="135"/>
      <c r="B39" t="s">
        <v>41</v>
      </c>
      <c r="C39" s="12">
        <f ca="1">IF(C$34&lt;=$H$3,0,IF(C$34&lt;=$H$4,'Taxes &amp; Fees'!C4,0))</f>
        <v>104359.38979415604</v>
      </c>
      <c r="D39" s="12">
        <f ca="1">IF(D$34&lt;=$H$3,0,IF(D$34&lt;=$H$4,'Taxes &amp; Fees'!D4,0))</f>
        <v>222</v>
      </c>
      <c r="E39" s="12">
        <f ca="1">IF(E$34&lt;=$H$3,0,IF(E$34&lt;=$H$4,'Taxes &amp; Fees'!E4,0))</f>
        <v>222</v>
      </c>
      <c r="F39" s="12">
        <f ca="1">IF(F$34&lt;=$H$3,0,IF(F$34&lt;=$H$4,'Taxes &amp; Fees'!F4,0))</f>
        <v>222</v>
      </c>
      <c r="G39" s="12">
        <f ca="1">IF(G$34&lt;=$H$3,0,IF(G$34&lt;=$H$4,'Taxes &amp; Fees'!G4,0))</f>
        <v>222</v>
      </c>
      <c r="H39" s="12">
        <f ca="1">IF(H$34&lt;=$H$3,0,IF(H$34&lt;=$H$4,'Taxes &amp; Fees'!H4,0))</f>
        <v>222</v>
      </c>
      <c r="I39" s="12">
        <f ca="1">IF(I$34&lt;=$H$3,0,IF(I$34&lt;=$H$4,'Taxes &amp; Fees'!I4,0))</f>
        <v>222</v>
      </c>
      <c r="J39" s="12">
        <f ca="1">IF(J$34&lt;=$H$3,0,IF(J$34&lt;=$H$4,'Taxes &amp; Fees'!J4,0))</f>
        <v>222</v>
      </c>
      <c r="K39" s="12">
        <f ca="1">IF(K$34&lt;=$H$3,0,IF(K$34&lt;=$H$4,'Taxes &amp; Fees'!K4,0))</f>
        <v>222</v>
      </c>
      <c r="L39" s="12">
        <f ca="1">IF(L$34&lt;=$H$3,0,IF(L$34&lt;=$H$4,'Taxes &amp; Fees'!L4,0))</f>
        <v>222</v>
      </c>
      <c r="M39" s="12">
        <f>IF(M$34&lt;=$H$3,0,IF(M$34&lt;=$H$4,'Taxes &amp; Fees'!M4,0))</f>
        <v>0</v>
      </c>
      <c r="N39" s="12">
        <f>IF(N$34&lt;=$H$3,0,IF(N$34&lt;=$H$4,'Taxes &amp; Fees'!N4,0))</f>
        <v>0</v>
      </c>
      <c r="O39" s="12">
        <f>IF(O$34&lt;=$H$3,0,IF(O$34&lt;=$H$4,'Taxes &amp; Fees'!O4,0))</f>
        <v>0</v>
      </c>
      <c r="P39" s="12">
        <f>IF(P$34&lt;=$H$3,0,IF(P$34&lt;=$H$4,'Taxes &amp; Fees'!P4,0))</f>
        <v>0</v>
      </c>
      <c r="Q39" s="12">
        <f>IF(Q$34&lt;=$H$3,0,IF(Q$34&lt;=$H$4,'Taxes &amp; Fees'!Q4,0))</f>
        <v>0</v>
      </c>
      <c r="R39" s="12">
        <f>IF(R$34&lt;=$H$3,0,IF(R$34&lt;=$H$4,'Taxes &amp; Fees'!R4,0))</f>
        <v>0</v>
      </c>
      <c r="S39" s="12">
        <f>IF(S$34&lt;=$H$3,0,IF(S$34&lt;=$H$4,'Taxes &amp; Fees'!S4,0))</f>
        <v>0</v>
      </c>
      <c r="T39" s="12">
        <f>IF(T$34&lt;=$H$3,0,IF(T$34&lt;=$H$4,'Taxes &amp; Fees'!T4,0))</f>
        <v>0</v>
      </c>
      <c r="U39" s="12">
        <f>IF(U$34&lt;=$H$3,0,IF(U$34&lt;=$H$4,'Taxes &amp; Fees'!U4,0))</f>
        <v>0</v>
      </c>
      <c r="V39" s="12">
        <f>IF(V$34&lt;=$H$3,0,IF(V$34&lt;=$H$4,'Taxes &amp; Fees'!V4,0))</f>
        <v>0</v>
      </c>
      <c r="W39" s="12">
        <f>IF(W$34&lt;=$H$3,0,IF(W$34&lt;=$H$4,'Taxes &amp; Fees'!W4,0))</f>
        <v>0</v>
      </c>
      <c r="X39" s="12">
        <f>IF(X$34&lt;=$H$3,0,IF(X$34&lt;=$H$4,'Taxes &amp; Fees'!X4,0))</f>
        <v>0</v>
      </c>
      <c r="Y39" s="12">
        <f>IF(Y$34&lt;=$H$3,0,IF(Y$34&lt;=$H$4,'Taxes &amp; Fees'!Y4,0))</f>
        <v>0</v>
      </c>
      <c r="Z39" s="12">
        <f>IF(Z$34&lt;=$H$3,0,IF(Z$34&lt;=$H$4,'Taxes &amp; Fees'!Z4,0))</f>
        <v>0</v>
      </c>
      <c r="AA39" s="12">
        <f>IF(AA$34&lt;=$H$3,0,IF(AA$34&lt;=$H$4,'Taxes &amp; Fees'!AA4,0))</f>
        <v>0</v>
      </c>
      <c r="AB39" s="12">
        <f>IF(AB$34&lt;=$H$3,0,IF(AB$34&lt;=$H$4,'Taxes &amp; Fees'!AB4,0))</f>
        <v>0</v>
      </c>
      <c r="AC39" s="12">
        <f>IF(AC$34&lt;=$H$3,0,IF(AC$34&lt;=$H$4,'Taxes &amp; Fees'!AC4,0))</f>
        <v>0</v>
      </c>
      <c r="AD39" s="12">
        <f>IF(AD$34&lt;=$H$3,0,IF(AD$34&lt;=$H$4,'Taxes &amp; Fees'!AD4,0))</f>
        <v>0</v>
      </c>
      <c r="AE39" s="12">
        <f>IF(AE$34&lt;=$H$3,0,IF(AE$34&lt;=$H$4,'Taxes &amp; Fees'!AE4,0))</f>
        <v>0</v>
      </c>
      <c r="AF39" s="12">
        <f>IF(AF$34&lt;=$H$3,0,IF(AF$34&lt;=$H$4,'Taxes &amp; Fees'!AF4,0))</f>
        <v>0</v>
      </c>
      <c r="AH39">
        <f t="shared" ca="1" si="2"/>
        <v>106357.38979415604</v>
      </c>
      <c r="AI39">
        <f t="shared" ca="1" si="3"/>
        <v>10635.738979415604</v>
      </c>
    </row>
    <row r="40" spans="1:35" x14ac:dyDescent="0.45">
      <c r="A40" s="135"/>
      <c r="B40" t="s">
        <v>23</v>
      </c>
      <c r="C40" s="12">
        <f ca="1">IF(C$34&lt;=$H$3,0,IF(C$34&lt;=$H$4,'Maintenance &amp; Repair'!C13,0))</f>
        <v>27680.332823461667</v>
      </c>
      <c r="D40" s="12">
        <f ca="1">IF(D$34&lt;=$H$3,0,IF(D$34&lt;=$H$4,'Maintenance &amp; Repair'!D13,0))</f>
        <v>30261.220566406901</v>
      </c>
      <c r="E40" s="12">
        <f ca="1">IF(E$34&lt;=$H$3,0,IF(E$34&lt;=$H$4,'Maintenance &amp; Repair'!E13,0))</f>
        <v>32095.929495202425</v>
      </c>
      <c r="F40" s="12">
        <f ca="1">IF(F$34&lt;=$H$3,0,IF(F$34&lt;=$H$4,'Maintenance &amp; Repair'!F13,0))</f>
        <v>38466.267943635161</v>
      </c>
      <c r="G40" s="12">
        <f ca="1">IF(G$34&lt;=$H$3,0,IF(G$34&lt;=$H$4,'Maintenance &amp; Repair'!G13,0))</f>
        <v>40354.403463353505</v>
      </c>
      <c r="H40" s="12">
        <f ca="1">IF(H$34&lt;=$H$3,0,IF(H$34&lt;=$H$4,'Maintenance &amp; Repair'!H13,0))</f>
        <v>39330.131179694064</v>
      </c>
      <c r="I40" s="12">
        <f ca="1">IF(I$34&lt;=$H$3,0,IF(I$34&lt;=$H$4,'Maintenance &amp; Repair'!I13,0))</f>
        <v>40176.9998261781</v>
      </c>
      <c r="J40" s="12">
        <f ca="1">IF(J$34&lt;=$H$3,0,IF(J$34&lt;=$H$4,'Maintenance &amp; Repair'!J13,0))</f>
        <v>40567.150198495016</v>
      </c>
      <c r="K40" s="12">
        <f ca="1">IF(K$34&lt;=$H$3,0,IF(K$34&lt;=$H$4,'Maintenance &amp; Repair'!K13,0))</f>
        <v>40646.803228155441</v>
      </c>
      <c r="L40" s="12">
        <f ca="1">IF(L$34&lt;=$H$3,0,IF(L$34&lt;=$H$4,'Maintenance &amp; Repair'!L13,0))</f>
        <v>43051.49632571471</v>
      </c>
      <c r="M40" s="12">
        <f>IF(M$34&lt;=$H$3,0,IF(M$34&lt;=$H$4,'Maintenance &amp; Repair'!M13,0))</f>
        <v>0</v>
      </c>
      <c r="N40" s="12">
        <f>IF(N$34&lt;=$H$3,0,IF(N$34&lt;=$H$4,'Maintenance &amp; Repair'!N13,0))</f>
        <v>0</v>
      </c>
      <c r="O40" s="12">
        <f>IF(O$34&lt;=$H$3,0,IF(O$34&lt;=$H$4,'Maintenance &amp; Repair'!O13,0))</f>
        <v>0</v>
      </c>
      <c r="P40" s="12">
        <f>IF(P$34&lt;=$H$3,0,IF(P$34&lt;=$H$4,'Maintenance &amp; Repair'!P13,0))</f>
        <v>0</v>
      </c>
      <c r="Q40" s="12">
        <f>IF(Q$34&lt;=$H$3,0,IF(Q$34&lt;=$H$4,'Maintenance &amp; Repair'!Q13,0))</f>
        <v>0</v>
      </c>
      <c r="R40" s="12">
        <f>IF(R$34&lt;=$H$3,0,IF(R$34&lt;=$H$4,'Maintenance &amp; Repair'!R13,0))</f>
        <v>0</v>
      </c>
      <c r="S40" s="12">
        <f>IF(S$34&lt;=$H$3,0,IF(S$34&lt;=$H$4,'Maintenance &amp; Repair'!S13,0))</f>
        <v>0</v>
      </c>
      <c r="T40" s="12">
        <f>IF(T$34&lt;=$H$3,0,IF(T$34&lt;=$H$4,'Maintenance &amp; Repair'!T13,0))</f>
        <v>0</v>
      </c>
      <c r="U40" s="12">
        <f>IF(U$34&lt;=$H$3,0,IF(U$34&lt;=$H$4,'Maintenance &amp; Repair'!U13,0))</f>
        <v>0</v>
      </c>
      <c r="V40" s="12">
        <f>IF(V$34&lt;=$H$3,0,IF(V$34&lt;=$H$4,'Maintenance &amp; Repair'!V13,0))</f>
        <v>0</v>
      </c>
      <c r="W40" s="12">
        <f>IF(W$34&lt;=$H$3,0,IF(W$34&lt;=$H$4,'Maintenance &amp; Repair'!W13,0))</f>
        <v>0</v>
      </c>
      <c r="X40" s="12">
        <f>IF(X$34&lt;=$H$3,0,IF(X$34&lt;=$H$4,'Maintenance &amp; Repair'!X13,0))</f>
        <v>0</v>
      </c>
      <c r="Y40" s="12">
        <f>IF(Y$34&lt;=$H$3,0,IF(Y$34&lt;=$H$4,'Maintenance &amp; Repair'!Y13,0))</f>
        <v>0</v>
      </c>
      <c r="Z40" s="12">
        <f>IF(Z$34&lt;=$H$3,0,IF(Z$34&lt;=$H$4,'Maintenance &amp; Repair'!Z13,0))</f>
        <v>0</v>
      </c>
      <c r="AA40" s="12">
        <f>IF(AA$34&lt;=$H$3,0,IF(AA$34&lt;=$H$4,'Maintenance &amp; Repair'!AA13,0))</f>
        <v>0</v>
      </c>
      <c r="AB40" s="12">
        <f>IF(AB$34&lt;=$H$3,0,IF(AB$34&lt;=$H$4,'Maintenance &amp; Repair'!AB13,0))</f>
        <v>0</v>
      </c>
      <c r="AC40" s="12">
        <f>IF(AC$34&lt;=$H$3,0,IF(AC$34&lt;=$H$4,'Maintenance &amp; Repair'!AC13,0))</f>
        <v>0</v>
      </c>
      <c r="AD40" s="12">
        <f>IF(AD$34&lt;=$H$3,0,IF(AD$34&lt;=$H$4,'Maintenance &amp; Repair'!AD13,0))</f>
        <v>0</v>
      </c>
      <c r="AE40" s="12">
        <f>IF(AE$34&lt;=$H$3,0,IF(AE$34&lt;=$H$4,'Maintenance &amp; Repair'!AE13,0))</f>
        <v>0</v>
      </c>
      <c r="AF40" s="12">
        <f>IF(AF$34&lt;=$H$3,0,IF(AF$34&lt;=$H$4,'Maintenance &amp; Repair'!AF13,0))</f>
        <v>0</v>
      </c>
      <c r="AH40">
        <f t="shared" ca="1" si="2"/>
        <v>372630.73505029693</v>
      </c>
      <c r="AI40">
        <f t="shared" ca="1" si="3"/>
        <v>37263.073505029693</v>
      </c>
    </row>
    <row r="41" spans="1:35" x14ac:dyDescent="0.45">
      <c r="A41" s="135"/>
      <c r="B41" t="s">
        <v>40</v>
      </c>
      <c r="C41" s="12">
        <f ca="1">IF(C$34&lt;=$H$3,0,IF(C$34&lt;=$H$4,'Maintenance &amp; Repair'!C22,0))</f>
        <v>0</v>
      </c>
      <c r="D41" s="12">
        <f ca="1">IF(D$34&lt;=$H$3,0,IF(D$34&lt;=$H$4,'Maintenance &amp; Repair'!D22,0))</f>
        <v>0</v>
      </c>
      <c r="E41" s="12">
        <f ca="1">IF(E$34&lt;=$H$3,0,IF(E$34&lt;=$H$4,'Maintenance &amp; Repair'!E22,0))</f>
        <v>0</v>
      </c>
      <c r="F41" s="12">
        <f ca="1">IF(F$34&lt;=$H$3,0,IF(F$34&lt;=$H$4,'Maintenance &amp; Repair'!F22,0))</f>
        <v>0</v>
      </c>
      <c r="G41" s="12">
        <f ca="1">IF(G$34&lt;=$H$3,0,IF(G$34&lt;=$H$4,'Maintenance &amp; Repair'!G22,0))</f>
        <v>0</v>
      </c>
      <c r="H41" s="12">
        <f ca="1">IF(H$34&lt;=$H$3,0,IF(H$34&lt;=$H$4,'Maintenance &amp; Repair'!H22,0))</f>
        <v>0</v>
      </c>
      <c r="I41" s="12">
        <f ca="1">IF(I$34&lt;=$H$3,0,IF(I$34&lt;=$H$4,'Maintenance &amp; Repair'!I22,0))</f>
        <v>0</v>
      </c>
      <c r="J41" s="12">
        <f ca="1">IF(J$34&lt;=$H$3,0,IF(J$34&lt;=$H$4,'Maintenance &amp; Repair'!J22,0))</f>
        <v>0</v>
      </c>
      <c r="K41" s="12">
        <f ca="1">IF(K$34&lt;=$H$3,0,IF(K$34&lt;=$H$4,'Maintenance &amp; Repair'!K22,0))</f>
        <v>0</v>
      </c>
      <c r="L41" s="12">
        <f ca="1">IF(L$34&lt;=$H$3,0,IF(L$34&lt;=$H$4,'Maintenance &amp; Repair'!L22,0))</f>
        <v>0</v>
      </c>
      <c r="M41" s="12">
        <f>IF(M$34&lt;=$H$3,0,IF(M$34&lt;=$H$4,'Maintenance &amp; Repair'!M22,0))</f>
        <v>0</v>
      </c>
      <c r="N41" s="12">
        <f>IF(N$34&lt;=$H$3,0,IF(N$34&lt;=$H$4,'Maintenance &amp; Repair'!N22,0))</f>
        <v>0</v>
      </c>
      <c r="O41" s="12">
        <f>IF(O$34&lt;=$H$3,0,IF(O$34&lt;=$H$4,'Maintenance &amp; Repair'!O22,0))</f>
        <v>0</v>
      </c>
      <c r="P41" s="12">
        <f>IF(P$34&lt;=$H$3,0,IF(P$34&lt;=$H$4,'Maintenance &amp; Repair'!P22,0))</f>
        <v>0</v>
      </c>
      <c r="Q41" s="12">
        <f>IF(Q$34&lt;=$H$3,0,IF(Q$34&lt;=$H$4,'Maintenance &amp; Repair'!Q22,0))</f>
        <v>0</v>
      </c>
      <c r="R41" s="12">
        <f>IF(R$34&lt;=$H$3,0,IF(R$34&lt;=$H$4,'Maintenance &amp; Repair'!R22,0))</f>
        <v>0</v>
      </c>
      <c r="S41" s="12">
        <f>IF(S$34&lt;=$H$3,0,IF(S$34&lt;=$H$4,'Maintenance &amp; Repair'!S22,0))</f>
        <v>0</v>
      </c>
      <c r="T41" s="12">
        <f>IF(T$34&lt;=$H$3,0,IF(T$34&lt;=$H$4,'Maintenance &amp; Repair'!T22,0))</f>
        <v>0</v>
      </c>
      <c r="U41" s="12">
        <f>IF(U$34&lt;=$H$3,0,IF(U$34&lt;=$H$4,'Maintenance &amp; Repair'!U22,0))</f>
        <v>0</v>
      </c>
      <c r="V41" s="12">
        <f>IF(V$34&lt;=$H$3,0,IF(V$34&lt;=$H$4,'Maintenance &amp; Repair'!V22,0))</f>
        <v>0</v>
      </c>
      <c r="W41" s="12">
        <f>IF(W$34&lt;=$H$3,0,IF(W$34&lt;=$H$4,'Maintenance &amp; Repair'!W22,0))</f>
        <v>0</v>
      </c>
      <c r="X41" s="12">
        <f>IF(X$34&lt;=$H$3,0,IF(X$34&lt;=$H$4,'Maintenance &amp; Repair'!X22,0))</f>
        <v>0</v>
      </c>
      <c r="Y41" s="12">
        <f>IF(Y$34&lt;=$H$3,0,IF(Y$34&lt;=$H$4,'Maintenance &amp; Repair'!Y22,0))</f>
        <v>0</v>
      </c>
      <c r="Z41" s="12">
        <f>IF(Z$34&lt;=$H$3,0,IF(Z$34&lt;=$H$4,'Maintenance &amp; Repair'!Z22,0))</f>
        <v>0</v>
      </c>
      <c r="AA41" s="12">
        <f>IF(AA$34&lt;=$H$3,0,IF(AA$34&lt;=$H$4,'Maintenance &amp; Repair'!AA22,0))</f>
        <v>0</v>
      </c>
      <c r="AB41" s="12">
        <f>IF(AB$34&lt;=$H$3,0,IF(AB$34&lt;=$H$4,'Maintenance &amp; Repair'!AB22,0))</f>
        <v>0</v>
      </c>
      <c r="AC41" s="12">
        <f>IF(AC$34&lt;=$H$3,0,IF(AC$34&lt;=$H$4,'Maintenance &amp; Repair'!AC22,0))</f>
        <v>0</v>
      </c>
      <c r="AD41" s="12">
        <f>IF(AD$34&lt;=$H$3,0,IF(AD$34&lt;=$H$4,'Maintenance &amp; Repair'!AD22,0))</f>
        <v>0</v>
      </c>
      <c r="AE41" s="12">
        <f>IF(AE$34&lt;=$H$3,0,IF(AE$34&lt;=$H$4,'Maintenance &amp; Repair'!AE22,0))</f>
        <v>0</v>
      </c>
      <c r="AF41" s="12">
        <f>IF(AF$34&lt;=$H$3,0,IF(AF$34&lt;=$H$4,'Maintenance &amp; Repair'!AF22,0))</f>
        <v>0</v>
      </c>
      <c r="AH41">
        <f t="shared" ca="1" si="2"/>
        <v>0</v>
      </c>
      <c r="AI41">
        <f t="shared" ca="1" si="3"/>
        <v>0</v>
      </c>
    </row>
    <row r="42" spans="1:35" x14ac:dyDescent="0.45">
      <c r="A42" s="135"/>
      <c r="B42" t="s">
        <v>85</v>
      </c>
      <c r="C42" s="12">
        <f ca="1">IF(C$34&lt;=$H$3,0,IF(C$34&lt;=$H$4,Operation!C4,0))</f>
        <v>1905.1066056097754</v>
      </c>
      <c r="D42" s="12">
        <f ca="1">IF(D$34&lt;=$H$3,0,IF(D$34&lt;=$H$4,Operation!D4,0))</f>
        <v>1890.6912623321466</v>
      </c>
      <c r="E42" s="12">
        <f ca="1">IF(E$34&lt;=$H$3,0,IF(E$34&lt;=$H$4,Operation!E4,0))</f>
        <v>1841.2021524847851</v>
      </c>
      <c r="F42" s="12">
        <f ca="1">IF(F$34&lt;=$H$3,0,IF(F$34&lt;=$H$4,Operation!F4,0))</f>
        <v>1761.9442733946701</v>
      </c>
      <c r="G42" s="12">
        <f ca="1">IF(G$34&lt;=$H$3,0,IF(G$34&lt;=$H$4,Operation!G4,0))</f>
        <v>1580.5251156794886</v>
      </c>
      <c r="H42" s="12">
        <f ca="1">IF(H$34&lt;=$H$3,0,IF(H$34&lt;=$H$4,Operation!H4,0))</f>
        <v>1417.7858397761615</v>
      </c>
      <c r="I42" s="12">
        <f ca="1">IF(I$34&lt;=$H$3,0,IF(I$34&lt;=$H$4,Operation!I4,0))</f>
        <v>1271.8030656574665</v>
      </c>
      <c r="J42" s="12">
        <f ca="1">IF(J$34&lt;=$H$3,0,IF(J$34&lt;=$H$4,Operation!J4,0))</f>
        <v>1140.8514547381121</v>
      </c>
      <c r="K42" s="12">
        <f ca="1">IF(K$34&lt;=$H$3,0,IF(K$34&lt;=$H$4,Operation!K4,0))</f>
        <v>1023.3833184740962</v>
      </c>
      <c r="L42" s="12">
        <f ca="1">IF(L$34&lt;=$H$3,0,IF(L$34&lt;=$H$4,Operation!L4,0))</f>
        <v>918.0103265691755</v>
      </c>
      <c r="M42" s="12">
        <f>IF(M$34&lt;=$H$3,0,IF(M$34&lt;=$H$4,Operation!M4,0))</f>
        <v>0</v>
      </c>
      <c r="N42" s="12">
        <f>IF(N$34&lt;=$H$3,0,IF(N$34&lt;=$H$4,Operation!N4,0))</f>
        <v>0</v>
      </c>
      <c r="O42" s="12">
        <f>IF(O$34&lt;=$H$3,0,IF(O$34&lt;=$H$4,Operation!O4,0))</f>
        <v>0</v>
      </c>
      <c r="P42" s="12">
        <f>IF(P$34&lt;=$H$3,0,IF(P$34&lt;=$H$4,Operation!P4,0))</f>
        <v>0</v>
      </c>
      <c r="Q42" s="12">
        <f>IF(Q$34&lt;=$H$3,0,IF(Q$34&lt;=$H$4,Operation!Q4,0))</f>
        <v>0</v>
      </c>
      <c r="R42" s="12">
        <f>IF(R$34&lt;=$H$3,0,IF(R$34&lt;=$H$4,Operation!R4,0))</f>
        <v>0</v>
      </c>
      <c r="S42" s="12">
        <f>IF(S$34&lt;=$H$3,0,IF(S$34&lt;=$H$4,Operation!S4,0))</f>
        <v>0</v>
      </c>
      <c r="T42" s="12">
        <f>IF(T$34&lt;=$H$3,0,IF(T$34&lt;=$H$4,Operation!T4,0))</f>
        <v>0</v>
      </c>
      <c r="U42" s="12">
        <f>IF(U$34&lt;=$H$3,0,IF(U$34&lt;=$H$4,Operation!U4,0))</f>
        <v>0</v>
      </c>
      <c r="V42" s="12">
        <f>IF(V$34&lt;=$H$3,0,IF(V$34&lt;=$H$4,Operation!V4,0))</f>
        <v>0</v>
      </c>
      <c r="W42" s="12">
        <f>IF(W$34&lt;=$H$3,0,IF(W$34&lt;=$H$4,Operation!W4,0))</f>
        <v>0</v>
      </c>
      <c r="X42" s="12">
        <f>IF(X$34&lt;=$H$3,0,IF(X$34&lt;=$H$4,Operation!X4,0))</f>
        <v>0</v>
      </c>
      <c r="Y42" s="12">
        <f>IF(Y$34&lt;=$H$3,0,IF(Y$34&lt;=$H$4,Operation!Y4,0))</f>
        <v>0</v>
      </c>
      <c r="Z42" s="12">
        <f>IF(Z$34&lt;=$H$3,0,IF(Z$34&lt;=$H$4,Operation!Z4,0))</f>
        <v>0</v>
      </c>
      <c r="AA42" s="12">
        <f>IF(AA$34&lt;=$H$3,0,IF(AA$34&lt;=$H$4,Operation!AA4,0))</f>
        <v>0</v>
      </c>
      <c r="AB42" s="12">
        <f>IF(AB$34&lt;=$H$3,0,IF(AB$34&lt;=$H$4,Operation!AB4,0))</f>
        <v>0</v>
      </c>
      <c r="AC42" s="12">
        <f>IF(AC$34&lt;=$H$3,0,IF(AC$34&lt;=$H$4,Operation!AC4,0))</f>
        <v>0</v>
      </c>
      <c r="AD42" s="12">
        <f>IF(AD$34&lt;=$H$3,0,IF(AD$34&lt;=$H$4,Operation!AD4,0))</f>
        <v>0</v>
      </c>
      <c r="AE42" s="12">
        <f>IF(AE$34&lt;=$H$3,0,IF(AE$34&lt;=$H$4,Operation!AE4,0))</f>
        <v>0</v>
      </c>
      <c r="AF42" s="12">
        <f>IF(AF$34&lt;=$H$3,0,IF(AF$34&lt;=$H$4,Operation!AF4,0))</f>
        <v>0</v>
      </c>
      <c r="AH42">
        <f t="shared" ca="1" si="2"/>
        <v>14751.303414715878</v>
      </c>
      <c r="AI42">
        <f t="shared" ca="1" si="3"/>
        <v>1475.1303414715878</v>
      </c>
    </row>
    <row r="43" spans="1:35" x14ac:dyDescent="0.45">
      <c r="A43" s="135"/>
      <c r="B43" t="s">
        <v>87</v>
      </c>
      <c r="C43" s="12">
        <f ca="1">IF(C$34&lt;=$H$3,0,IF(C$34&lt;=$H$4,Operation!C5,0))</f>
        <v>148232.66779820487</v>
      </c>
      <c r="D43" s="12">
        <f ca="1">IF(D$34&lt;=$H$3,0,IF(D$34&lt;=$H$4,Operation!D5,0))</f>
        <v>147111.03776187109</v>
      </c>
      <c r="E43" s="12">
        <f ca="1">IF(E$34&lt;=$H$3,0,IF(E$34&lt;=$H$4,Operation!E5,0))</f>
        <v>143260.38564716448</v>
      </c>
      <c r="F43" s="12">
        <f ca="1">IF(F$34&lt;=$H$3,0,IF(F$34&lt;=$H$4,Operation!F5,0))</f>
        <v>137093.48305653757</v>
      </c>
      <c r="G43" s="12">
        <f ca="1">IF(G$34&lt;=$H$3,0,IF(G$34&lt;=$H$4,Operation!G5,0))</f>
        <v>122977.60856498014</v>
      </c>
      <c r="H43" s="12">
        <f ca="1">IF(H$34&lt;=$H$3,0,IF(H$34&lt;=$H$4,Operation!H5,0))</f>
        <v>110315.17962180976</v>
      </c>
      <c r="I43" s="12">
        <f ca="1">IF(I$34&lt;=$H$3,0,IF(I$34&lt;=$H$4,Operation!I5,0))</f>
        <v>98956.541739563429</v>
      </c>
      <c r="J43" s="12">
        <f ca="1">IF(J$34&lt;=$H$3,0,IF(J$34&lt;=$H$4,Operation!J5,0))</f>
        <v>88767.449653120653</v>
      </c>
      <c r="K43" s="12">
        <f ca="1">IF(K$34&lt;=$H$3,0,IF(K$34&lt;=$H$4,Operation!K5,0))</f>
        <v>79627.480704178393</v>
      </c>
      <c r="L43" s="12">
        <f ca="1">IF(L$34&lt;=$H$3,0,IF(L$34&lt;=$H$4,Operation!L5,0))</f>
        <v>71428.611592102883</v>
      </c>
      <c r="M43" s="12">
        <f>IF(M$34&lt;=$H$3,0,IF(M$34&lt;=$H$4,Operation!M5,0))</f>
        <v>0</v>
      </c>
      <c r="N43" s="12">
        <f>IF(N$34&lt;=$H$3,0,IF(N$34&lt;=$H$4,Operation!N5,0))</f>
        <v>0</v>
      </c>
      <c r="O43" s="12">
        <f>IF(O$34&lt;=$H$3,0,IF(O$34&lt;=$H$4,Operation!O5,0))</f>
        <v>0</v>
      </c>
      <c r="P43" s="12">
        <f>IF(P$34&lt;=$H$3,0,IF(P$34&lt;=$H$4,Operation!P5,0))</f>
        <v>0</v>
      </c>
      <c r="Q43" s="12">
        <f>IF(Q$34&lt;=$H$3,0,IF(Q$34&lt;=$H$4,Operation!Q5,0))</f>
        <v>0</v>
      </c>
      <c r="R43" s="12">
        <f>IF(R$34&lt;=$H$3,0,IF(R$34&lt;=$H$4,Operation!R5,0))</f>
        <v>0</v>
      </c>
      <c r="S43" s="12">
        <f>IF(S$34&lt;=$H$3,0,IF(S$34&lt;=$H$4,Operation!S5,0))</f>
        <v>0</v>
      </c>
      <c r="T43" s="12">
        <f>IF(T$34&lt;=$H$3,0,IF(T$34&lt;=$H$4,Operation!T5,0))</f>
        <v>0</v>
      </c>
      <c r="U43" s="12">
        <f>IF(U$34&lt;=$H$3,0,IF(U$34&lt;=$H$4,Operation!U5,0))</f>
        <v>0</v>
      </c>
      <c r="V43" s="12">
        <f>IF(V$34&lt;=$H$3,0,IF(V$34&lt;=$H$4,Operation!V5,0))</f>
        <v>0</v>
      </c>
      <c r="W43" s="12">
        <f>IF(W$34&lt;=$H$3,0,IF(W$34&lt;=$H$4,Operation!W5,0))</f>
        <v>0</v>
      </c>
      <c r="X43" s="12">
        <f>IF(X$34&lt;=$H$3,0,IF(X$34&lt;=$H$4,Operation!X5,0))</f>
        <v>0</v>
      </c>
      <c r="Y43" s="12">
        <f>IF(Y$34&lt;=$H$3,0,IF(Y$34&lt;=$H$4,Operation!Y5,0))</f>
        <v>0</v>
      </c>
      <c r="Z43" s="12">
        <f>IF(Z$34&lt;=$H$3,0,IF(Z$34&lt;=$H$4,Operation!Z5,0))</f>
        <v>0</v>
      </c>
      <c r="AA43" s="12">
        <f>IF(AA$34&lt;=$H$3,0,IF(AA$34&lt;=$H$4,Operation!AA5,0))</f>
        <v>0</v>
      </c>
      <c r="AB43" s="12">
        <f>IF(AB$34&lt;=$H$3,0,IF(AB$34&lt;=$H$4,Operation!AB5,0))</f>
        <v>0</v>
      </c>
      <c r="AC43" s="12">
        <f>IF(AC$34&lt;=$H$3,0,IF(AC$34&lt;=$H$4,Operation!AC5,0))</f>
        <v>0</v>
      </c>
      <c r="AD43" s="12">
        <f>IF(AD$34&lt;=$H$3,0,IF(AD$34&lt;=$H$4,Operation!AD5,0))</f>
        <v>0</v>
      </c>
      <c r="AE43" s="12">
        <f>IF(AE$34&lt;=$H$3,0,IF(AE$34&lt;=$H$4,Operation!AE5,0))</f>
        <v>0</v>
      </c>
      <c r="AF43" s="12">
        <f>IF(AF$34&lt;=$H$3,0,IF(AF$34&lt;=$H$4,Operation!AF5,0))</f>
        <v>0</v>
      </c>
      <c r="AH43">
        <f t="shared" ca="1" si="2"/>
        <v>1147770.4461395331</v>
      </c>
      <c r="AI43">
        <f t="shared" ca="1" si="3"/>
        <v>114777.0446139533</v>
      </c>
    </row>
    <row r="44" spans="1:35" x14ac:dyDescent="0.45">
      <c r="A44" s="32"/>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spans="1:35" x14ac:dyDescent="0.45">
      <c r="A45" s="134" t="s">
        <v>307</v>
      </c>
      <c r="B45" t="s">
        <v>0</v>
      </c>
      <c r="C45">
        <v>1</v>
      </c>
      <c r="D45">
        <v>2</v>
      </c>
      <c r="E45">
        <v>3</v>
      </c>
      <c r="F45">
        <v>4</v>
      </c>
      <c r="G45">
        <v>5</v>
      </c>
      <c r="H45">
        <v>6</v>
      </c>
      <c r="I45">
        <v>7</v>
      </c>
      <c r="J45">
        <v>8</v>
      </c>
      <c r="K45">
        <v>9</v>
      </c>
      <c r="L45">
        <v>10</v>
      </c>
      <c r="M45">
        <v>11</v>
      </c>
      <c r="N45">
        <v>12</v>
      </c>
      <c r="O45">
        <v>13</v>
      </c>
      <c r="P45">
        <v>14</v>
      </c>
      <c r="Q45">
        <v>15</v>
      </c>
      <c r="R45">
        <v>16</v>
      </c>
      <c r="S45">
        <v>17</v>
      </c>
      <c r="T45">
        <v>18</v>
      </c>
      <c r="U45">
        <v>19</v>
      </c>
      <c r="V45">
        <v>20</v>
      </c>
      <c r="W45">
        <v>21</v>
      </c>
      <c r="X45">
        <v>22</v>
      </c>
      <c r="Y45">
        <v>23</v>
      </c>
      <c r="Z45">
        <v>24</v>
      </c>
      <c r="AA45">
        <v>25</v>
      </c>
      <c r="AB45">
        <v>26</v>
      </c>
      <c r="AC45">
        <v>27</v>
      </c>
      <c r="AD45">
        <v>28</v>
      </c>
      <c r="AE45">
        <v>29</v>
      </c>
      <c r="AF45">
        <v>30</v>
      </c>
      <c r="AH45" t="s">
        <v>113</v>
      </c>
      <c r="AI45" t="s">
        <v>114</v>
      </c>
    </row>
    <row r="46" spans="1:35" x14ac:dyDescent="0.45">
      <c r="A46" s="135"/>
      <c r="B46" t="s">
        <v>39</v>
      </c>
      <c r="C46" s="12">
        <f ca="1">C35* (1+$H$7)^-(C$45-1-$H$3)</f>
        <v>149135.258129058</v>
      </c>
      <c r="D46" s="12">
        <f t="shared" ref="D46:AF46" ca="1" si="4">D35* (1+$H$7)^-(D$45-1-$H$3)</f>
        <v>86354.658103859998</v>
      </c>
      <c r="E46" s="12">
        <f t="shared" ca="1" si="4"/>
        <v>82242.531527485698</v>
      </c>
      <c r="F46" s="12">
        <f t="shared" ca="1" si="4"/>
        <v>78326.220502367345</v>
      </c>
      <c r="G46" s="12">
        <f t="shared" ca="1" si="4"/>
        <v>74596.400478445095</v>
      </c>
      <c r="H46" s="12">
        <f t="shared" ca="1" si="4"/>
        <v>17761.047732963114</v>
      </c>
      <c r="I46" s="12">
        <f t="shared" si="4"/>
        <v>0</v>
      </c>
      <c r="J46" s="12">
        <f t="shared" si="4"/>
        <v>0</v>
      </c>
      <c r="K46" s="12">
        <f t="shared" si="4"/>
        <v>0</v>
      </c>
      <c r="L46" s="12">
        <f t="shared" ca="1" si="4"/>
        <v>-129943.47967706987</v>
      </c>
      <c r="M46" s="12">
        <f t="shared" si="4"/>
        <v>0</v>
      </c>
      <c r="N46" s="12">
        <f t="shared" si="4"/>
        <v>0</v>
      </c>
      <c r="O46" s="12">
        <f t="shared" si="4"/>
        <v>0</v>
      </c>
      <c r="P46" s="12">
        <f t="shared" si="4"/>
        <v>0</v>
      </c>
      <c r="Q46" s="12">
        <f t="shared" si="4"/>
        <v>0</v>
      </c>
      <c r="R46" s="12">
        <f t="shared" si="4"/>
        <v>0</v>
      </c>
      <c r="S46" s="12">
        <f t="shared" si="4"/>
        <v>0</v>
      </c>
      <c r="T46" s="12">
        <f t="shared" si="4"/>
        <v>0</v>
      </c>
      <c r="U46" s="12">
        <f t="shared" si="4"/>
        <v>0</v>
      </c>
      <c r="V46" s="12">
        <f t="shared" si="4"/>
        <v>0</v>
      </c>
      <c r="W46" s="12">
        <f t="shared" si="4"/>
        <v>0</v>
      </c>
      <c r="X46" s="12">
        <f t="shared" si="4"/>
        <v>0</v>
      </c>
      <c r="Y46" s="12">
        <f t="shared" si="4"/>
        <v>0</v>
      </c>
      <c r="Z46" s="12">
        <f t="shared" si="4"/>
        <v>0</v>
      </c>
      <c r="AA46" s="12">
        <f t="shared" si="4"/>
        <v>0</v>
      </c>
      <c r="AB46" s="12">
        <f t="shared" si="4"/>
        <v>0</v>
      </c>
      <c r="AC46" s="12">
        <f t="shared" si="4"/>
        <v>0</v>
      </c>
      <c r="AD46" s="12">
        <f t="shared" si="4"/>
        <v>0</v>
      </c>
      <c r="AE46" s="12">
        <f t="shared" si="4"/>
        <v>0</v>
      </c>
      <c r="AF46" s="12">
        <f t="shared" si="4"/>
        <v>0</v>
      </c>
      <c r="AH46">
        <f t="shared" ref="AH46:AH54" ca="1" si="5">SUMIFS($C46:$AF46,C$34:AF$34,"&lt;="&amp;$H$4,C$34:AF$34,"&gt;"&amp;$H$3)</f>
        <v>358472.63679710939</v>
      </c>
      <c r="AI46">
        <f t="shared" ref="AI46:AI54" ca="1" si="6">AH46/($H$4-$H$3)</f>
        <v>35847.263679710937</v>
      </c>
    </row>
    <row r="47" spans="1:35" x14ac:dyDescent="0.45">
      <c r="A47" s="135"/>
      <c r="B47" t="s">
        <v>4</v>
      </c>
      <c r="C47" s="12">
        <f t="shared" ref="C47:AF47" ca="1" si="7">C36* (1+$H$7)^-(C$45-1-$H$3)</f>
        <v>15786.090933882107</v>
      </c>
      <c r="D47" s="12">
        <f t="shared" ca="1" si="7"/>
        <v>12128.673833585981</v>
      </c>
      <c r="E47" s="12">
        <f t="shared" ca="1" si="7"/>
        <v>8671.0406758809422</v>
      </c>
      <c r="F47" s="12">
        <f t="shared" ca="1" si="7"/>
        <v>5403.4520225498736</v>
      </c>
      <c r="G47" s="12">
        <f t="shared" ca="1" si="7"/>
        <v>2316.63421019001</v>
      </c>
      <c r="H47" s="12">
        <f t="shared" ca="1" si="7"/>
        <v>117.75244210507256</v>
      </c>
      <c r="I47" s="12">
        <f t="shared" ca="1" si="7"/>
        <v>0</v>
      </c>
      <c r="J47" s="12">
        <f t="shared" ca="1" si="7"/>
        <v>0</v>
      </c>
      <c r="K47" s="12">
        <f t="shared" ca="1" si="7"/>
        <v>0</v>
      </c>
      <c r="L47" s="12">
        <f t="shared" ca="1" si="7"/>
        <v>0</v>
      </c>
      <c r="M47" s="12">
        <f t="shared" si="7"/>
        <v>0</v>
      </c>
      <c r="N47" s="12">
        <f t="shared" si="7"/>
        <v>0</v>
      </c>
      <c r="O47" s="12">
        <f t="shared" si="7"/>
        <v>0</v>
      </c>
      <c r="P47" s="12">
        <f t="shared" si="7"/>
        <v>0</v>
      </c>
      <c r="Q47" s="12">
        <f t="shared" si="7"/>
        <v>0</v>
      </c>
      <c r="R47" s="12">
        <f t="shared" si="7"/>
        <v>0</v>
      </c>
      <c r="S47" s="12">
        <f t="shared" si="7"/>
        <v>0</v>
      </c>
      <c r="T47" s="12">
        <f t="shared" si="7"/>
        <v>0</v>
      </c>
      <c r="U47" s="12">
        <f t="shared" si="7"/>
        <v>0</v>
      </c>
      <c r="V47" s="12">
        <f t="shared" si="7"/>
        <v>0</v>
      </c>
      <c r="W47" s="12">
        <f t="shared" si="7"/>
        <v>0</v>
      </c>
      <c r="X47" s="12">
        <f t="shared" si="7"/>
        <v>0</v>
      </c>
      <c r="Y47" s="12">
        <f t="shared" si="7"/>
        <v>0</v>
      </c>
      <c r="Z47" s="12">
        <f t="shared" si="7"/>
        <v>0</v>
      </c>
      <c r="AA47" s="12">
        <f t="shared" si="7"/>
        <v>0</v>
      </c>
      <c r="AB47" s="12">
        <f t="shared" si="7"/>
        <v>0</v>
      </c>
      <c r="AC47" s="12">
        <f t="shared" si="7"/>
        <v>0</v>
      </c>
      <c r="AD47" s="12">
        <f t="shared" si="7"/>
        <v>0</v>
      </c>
      <c r="AE47" s="12">
        <f t="shared" si="7"/>
        <v>0</v>
      </c>
      <c r="AF47" s="12">
        <f t="shared" si="7"/>
        <v>0</v>
      </c>
      <c r="AH47">
        <f t="shared" ca="1" si="5"/>
        <v>44423.644118193981</v>
      </c>
      <c r="AI47">
        <f t="shared" ca="1" si="6"/>
        <v>4442.3644118193979</v>
      </c>
    </row>
    <row r="48" spans="1:35" x14ac:dyDescent="0.45">
      <c r="A48" s="135"/>
      <c r="B48" t="s">
        <v>54</v>
      </c>
      <c r="C48" s="12">
        <f t="shared" ref="C48:AF48" ca="1" si="8">C37* (1+$H$7)^-(C$45-1-$H$3)</f>
        <v>11565.449659918078</v>
      </c>
      <c r="D48" s="12">
        <f t="shared" ca="1" si="8"/>
        <v>10931.369081074623</v>
      </c>
      <c r="E48" s="12">
        <f t="shared" ca="1" si="8"/>
        <v>10138.322816312651</v>
      </c>
      <c r="F48" s="12">
        <f t="shared" ca="1" si="8"/>
        <v>9239.9051057983343</v>
      </c>
      <c r="G48" s="12">
        <f t="shared" ca="1" si="8"/>
        <v>7893.8241052001977</v>
      </c>
      <c r="H48" s="12">
        <f t="shared" ca="1" si="8"/>
        <v>6743.8418782825656</v>
      </c>
      <c r="I48" s="12">
        <f t="shared" ca="1" si="8"/>
        <v>5761.390508982503</v>
      </c>
      <c r="J48" s="12">
        <f t="shared" ca="1" si="8"/>
        <v>4922.063891190609</v>
      </c>
      <c r="K48" s="12">
        <f t="shared" ca="1" si="8"/>
        <v>4205.0114310409808</v>
      </c>
      <c r="L48" s="12">
        <f t="shared" ca="1" si="8"/>
        <v>3592.4200754143699</v>
      </c>
      <c r="M48" s="12">
        <f t="shared" si="8"/>
        <v>0</v>
      </c>
      <c r="N48" s="12">
        <f t="shared" si="8"/>
        <v>0</v>
      </c>
      <c r="O48" s="12">
        <f t="shared" si="8"/>
        <v>0</v>
      </c>
      <c r="P48" s="12">
        <f t="shared" si="8"/>
        <v>0</v>
      </c>
      <c r="Q48" s="12">
        <f t="shared" si="8"/>
        <v>0</v>
      </c>
      <c r="R48" s="12">
        <f t="shared" si="8"/>
        <v>0</v>
      </c>
      <c r="S48" s="12">
        <f t="shared" si="8"/>
        <v>0</v>
      </c>
      <c r="T48" s="12">
        <f t="shared" si="8"/>
        <v>0</v>
      </c>
      <c r="U48" s="12">
        <f t="shared" si="8"/>
        <v>0</v>
      </c>
      <c r="V48" s="12">
        <f t="shared" si="8"/>
        <v>0</v>
      </c>
      <c r="W48" s="12">
        <f t="shared" si="8"/>
        <v>0</v>
      </c>
      <c r="X48" s="12">
        <f t="shared" si="8"/>
        <v>0</v>
      </c>
      <c r="Y48" s="12">
        <f t="shared" si="8"/>
        <v>0</v>
      </c>
      <c r="Z48" s="12">
        <f t="shared" si="8"/>
        <v>0</v>
      </c>
      <c r="AA48" s="12">
        <f t="shared" si="8"/>
        <v>0</v>
      </c>
      <c r="AB48" s="12">
        <f t="shared" si="8"/>
        <v>0</v>
      </c>
      <c r="AC48" s="12">
        <f t="shared" si="8"/>
        <v>0</v>
      </c>
      <c r="AD48" s="12">
        <f t="shared" si="8"/>
        <v>0</v>
      </c>
      <c r="AE48" s="12">
        <f t="shared" si="8"/>
        <v>0</v>
      </c>
      <c r="AF48" s="12">
        <f t="shared" si="8"/>
        <v>0</v>
      </c>
      <c r="AH48">
        <f t="shared" ca="1" si="5"/>
        <v>74993.598553214921</v>
      </c>
      <c r="AI48">
        <f t="shared" ca="1" si="6"/>
        <v>7499.3598553214924</v>
      </c>
    </row>
    <row r="49" spans="1:35" x14ac:dyDescent="0.45">
      <c r="A49" s="135"/>
      <c r="B49" t="s">
        <v>25</v>
      </c>
      <c r="C49" s="12">
        <f t="shared" ref="C49:AF49" ca="1" si="9">C38* (1+$H$7)^-(C$45-1-$H$3)</f>
        <v>35000</v>
      </c>
      <c r="D49" s="12">
        <f t="shared" ca="1" si="9"/>
        <v>33333.333333333328</v>
      </c>
      <c r="E49" s="12">
        <f t="shared" ca="1" si="9"/>
        <v>31746.031746031742</v>
      </c>
      <c r="F49" s="12">
        <f t="shared" ca="1" si="9"/>
        <v>30234.315948601659</v>
      </c>
      <c r="G49" s="12">
        <f t="shared" ca="1" si="9"/>
        <v>28794.586617715868</v>
      </c>
      <c r="H49" s="12">
        <f t="shared" ca="1" si="9"/>
        <v>27423.415826396063</v>
      </c>
      <c r="I49" s="12">
        <f t="shared" ca="1" si="9"/>
        <v>26117.538882281966</v>
      </c>
      <c r="J49" s="12">
        <f t="shared" ca="1" si="9"/>
        <v>24873.846554554253</v>
      </c>
      <c r="K49" s="12">
        <f t="shared" ca="1" si="9"/>
        <v>23689.377671004051</v>
      </c>
      <c r="L49" s="12">
        <f t="shared" ca="1" si="9"/>
        <v>22561.312067622905</v>
      </c>
      <c r="M49" s="12">
        <f t="shared" si="9"/>
        <v>0</v>
      </c>
      <c r="N49" s="12">
        <f t="shared" si="9"/>
        <v>0</v>
      </c>
      <c r="O49" s="12">
        <f t="shared" si="9"/>
        <v>0</v>
      </c>
      <c r="P49" s="12">
        <f t="shared" si="9"/>
        <v>0</v>
      </c>
      <c r="Q49" s="12">
        <f t="shared" si="9"/>
        <v>0</v>
      </c>
      <c r="R49" s="12">
        <f t="shared" si="9"/>
        <v>0</v>
      </c>
      <c r="S49" s="12">
        <f t="shared" si="9"/>
        <v>0</v>
      </c>
      <c r="T49" s="12">
        <f t="shared" si="9"/>
        <v>0</v>
      </c>
      <c r="U49" s="12">
        <f t="shared" si="9"/>
        <v>0</v>
      </c>
      <c r="V49" s="12">
        <f t="shared" si="9"/>
        <v>0</v>
      </c>
      <c r="W49" s="12">
        <f t="shared" si="9"/>
        <v>0</v>
      </c>
      <c r="X49" s="12">
        <f t="shared" si="9"/>
        <v>0</v>
      </c>
      <c r="Y49" s="12">
        <f t="shared" si="9"/>
        <v>0</v>
      </c>
      <c r="Z49" s="12">
        <f t="shared" si="9"/>
        <v>0</v>
      </c>
      <c r="AA49" s="12">
        <f t="shared" si="9"/>
        <v>0</v>
      </c>
      <c r="AB49" s="12">
        <f t="shared" si="9"/>
        <v>0</v>
      </c>
      <c r="AC49" s="12">
        <f t="shared" si="9"/>
        <v>0</v>
      </c>
      <c r="AD49" s="12">
        <f t="shared" si="9"/>
        <v>0</v>
      </c>
      <c r="AE49" s="12">
        <f t="shared" si="9"/>
        <v>0</v>
      </c>
      <c r="AF49" s="12">
        <f t="shared" si="9"/>
        <v>0</v>
      </c>
      <c r="AH49">
        <f t="shared" ca="1" si="5"/>
        <v>283773.75864754181</v>
      </c>
      <c r="AI49">
        <f t="shared" ca="1" si="6"/>
        <v>28377.37586475418</v>
      </c>
    </row>
    <row r="50" spans="1:35" x14ac:dyDescent="0.45">
      <c r="A50" s="135"/>
      <c r="B50" t="s">
        <v>41</v>
      </c>
      <c r="C50" s="12">
        <f t="shared" ref="C50:AF50" ca="1" si="10">C39* (1+$H$7)^-(C$45-1-$H$3)</f>
        <v>104359.38979415604</v>
      </c>
      <c r="D50" s="12">
        <f t="shared" ca="1" si="10"/>
        <v>211.42857142857142</v>
      </c>
      <c r="E50" s="12">
        <f t="shared" ca="1" si="10"/>
        <v>201.36054421768705</v>
      </c>
      <c r="F50" s="12">
        <f t="shared" ca="1" si="10"/>
        <v>191.77194687398767</v>
      </c>
      <c r="G50" s="12">
        <f t="shared" ca="1" si="10"/>
        <v>182.6399494037978</v>
      </c>
      <c r="H50" s="12">
        <f t="shared" ca="1" si="10"/>
        <v>173.94280895599789</v>
      </c>
      <c r="I50" s="12">
        <f t="shared" ca="1" si="10"/>
        <v>165.65981805333132</v>
      </c>
      <c r="J50" s="12">
        <f t="shared" ca="1" si="10"/>
        <v>157.77125528888698</v>
      </c>
      <c r="K50" s="12">
        <f t="shared" ca="1" si="10"/>
        <v>150.25833837036856</v>
      </c>
      <c r="L50" s="12">
        <f t="shared" ca="1" si="10"/>
        <v>143.103179400351</v>
      </c>
      <c r="M50" s="12">
        <f t="shared" si="10"/>
        <v>0</v>
      </c>
      <c r="N50" s="12">
        <f t="shared" si="10"/>
        <v>0</v>
      </c>
      <c r="O50" s="12">
        <f t="shared" si="10"/>
        <v>0</v>
      </c>
      <c r="P50" s="12">
        <f t="shared" si="10"/>
        <v>0</v>
      </c>
      <c r="Q50" s="12">
        <f t="shared" si="10"/>
        <v>0</v>
      </c>
      <c r="R50" s="12">
        <f t="shared" si="10"/>
        <v>0</v>
      </c>
      <c r="S50" s="12">
        <f t="shared" si="10"/>
        <v>0</v>
      </c>
      <c r="T50" s="12">
        <f t="shared" si="10"/>
        <v>0</v>
      </c>
      <c r="U50" s="12">
        <f t="shared" si="10"/>
        <v>0</v>
      </c>
      <c r="V50" s="12">
        <f t="shared" si="10"/>
        <v>0</v>
      </c>
      <c r="W50" s="12">
        <f t="shared" si="10"/>
        <v>0</v>
      </c>
      <c r="X50" s="12">
        <f t="shared" si="10"/>
        <v>0</v>
      </c>
      <c r="Y50" s="12">
        <f t="shared" si="10"/>
        <v>0</v>
      </c>
      <c r="Z50" s="12">
        <f t="shared" si="10"/>
        <v>0</v>
      </c>
      <c r="AA50" s="12">
        <f t="shared" si="10"/>
        <v>0</v>
      </c>
      <c r="AB50" s="12">
        <f t="shared" si="10"/>
        <v>0</v>
      </c>
      <c r="AC50" s="12">
        <f t="shared" si="10"/>
        <v>0</v>
      </c>
      <c r="AD50" s="12">
        <f t="shared" si="10"/>
        <v>0</v>
      </c>
      <c r="AE50" s="12">
        <f t="shared" si="10"/>
        <v>0</v>
      </c>
      <c r="AF50" s="12">
        <f t="shared" si="10"/>
        <v>0</v>
      </c>
      <c r="AH50">
        <f t="shared" ca="1" si="5"/>
        <v>105937.32620614902</v>
      </c>
      <c r="AI50">
        <f t="shared" ca="1" si="6"/>
        <v>10593.732620614903</v>
      </c>
    </row>
    <row r="51" spans="1:35" x14ac:dyDescent="0.45">
      <c r="A51" s="135"/>
      <c r="B51" t="s">
        <v>23</v>
      </c>
      <c r="C51" s="12">
        <f t="shared" ref="C51:AF51" ca="1" si="11">C40* (1+$H$7)^-(C$45-1-$H$3)</f>
        <v>27680.332823461667</v>
      </c>
      <c r="D51" s="12">
        <f t="shared" ca="1" si="11"/>
        <v>28820.210063244667</v>
      </c>
      <c r="E51" s="12">
        <f t="shared" ca="1" si="11"/>
        <v>29111.954190659795</v>
      </c>
      <c r="F51" s="12">
        <f t="shared" ca="1" si="11"/>
        <v>33228.608524898096</v>
      </c>
      <c r="G51" s="12">
        <f t="shared" ca="1" si="11"/>
        <v>33199.667598051019</v>
      </c>
      <c r="H51" s="12">
        <f t="shared" ca="1" si="11"/>
        <v>30816.186909927299</v>
      </c>
      <c r="I51" s="12">
        <f t="shared" ca="1" si="11"/>
        <v>29980.695860961208</v>
      </c>
      <c r="J51" s="12">
        <f t="shared" ca="1" si="11"/>
        <v>28830.316262654858</v>
      </c>
      <c r="K51" s="12">
        <f t="shared" ca="1" si="11"/>
        <v>27511.356365450312</v>
      </c>
      <c r="L51" s="12">
        <f t="shared" ca="1" si="11"/>
        <v>27751.378388073441</v>
      </c>
      <c r="M51" s="12">
        <f t="shared" si="11"/>
        <v>0</v>
      </c>
      <c r="N51" s="12">
        <f t="shared" si="11"/>
        <v>0</v>
      </c>
      <c r="O51" s="12">
        <f t="shared" si="11"/>
        <v>0</v>
      </c>
      <c r="P51" s="12">
        <f t="shared" si="11"/>
        <v>0</v>
      </c>
      <c r="Q51" s="12">
        <f t="shared" si="11"/>
        <v>0</v>
      </c>
      <c r="R51" s="12">
        <f t="shared" si="11"/>
        <v>0</v>
      </c>
      <c r="S51" s="12">
        <f t="shared" si="11"/>
        <v>0</v>
      </c>
      <c r="T51" s="12">
        <f t="shared" si="11"/>
        <v>0</v>
      </c>
      <c r="U51" s="12">
        <f t="shared" si="11"/>
        <v>0</v>
      </c>
      <c r="V51" s="12">
        <f t="shared" si="11"/>
        <v>0</v>
      </c>
      <c r="W51" s="12">
        <f t="shared" si="11"/>
        <v>0</v>
      </c>
      <c r="X51" s="12">
        <f t="shared" si="11"/>
        <v>0</v>
      </c>
      <c r="Y51" s="12">
        <f t="shared" si="11"/>
        <v>0</v>
      </c>
      <c r="Z51" s="12">
        <f t="shared" si="11"/>
        <v>0</v>
      </c>
      <c r="AA51" s="12">
        <f t="shared" si="11"/>
        <v>0</v>
      </c>
      <c r="AB51" s="12">
        <f t="shared" si="11"/>
        <v>0</v>
      </c>
      <c r="AC51" s="12">
        <f t="shared" si="11"/>
        <v>0</v>
      </c>
      <c r="AD51" s="12">
        <f t="shared" si="11"/>
        <v>0</v>
      </c>
      <c r="AE51" s="12">
        <f t="shared" si="11"/>
        <v>0</v>
      </c>
      <c r="AF51" s="12">
        <f t="shared" si="11"/>
        <v>0</v>
      </c>
      <c r="AH51">
        <f t="shared" ca="1" si="5"/>
        <v>296930.70698738238</v>
      </c>
      <c r="AI51">
        <f t="shared" ca="1" si="6"/>
        <v>29693.070698738236</v>
      </c>
    </row>
    <row r="52" spans="1:35" x14ac:dyDescent="0.45">
      <c r="A52" s="135"/>
      <c r="B52" t="s">
        <v>40</v>
      </c>
      <c r="C52" s="12">
        <f t="shared" ref="C52:AF52" ca="1" si="12">C41* (1+$H$7)^-(C$45-1-$H$3)</f>
        <v>0</v>
      </c>
      <c r="D52" s="12">
        <f t="shared" ca="1" si="12"/>
        <v>0</v>
      </c>
      <c r="E52" s="12">
        <f t="shared" ca="1" si="12"/>
        <v>0</v>
      </c>
      <c r="F52" s="12">
        <f t="shared" ca="1" si="12"/>
        <v>0</v>
      </c>
      <c r="G52" s="12">
        <f t="shared" ca="1" si="12"/>
        <v>0</v>
      </c>
      <c r="H52" s="12">
        <f t="shared" ca="1" si="12"/>
        <v>0</v>
      </c>
      <c r="I52" s="12">
        <f t="shared" ca="1" si="12"/>
        <v>0</v>
      </c>
      <c r="J52" s="12">
        <f t="shared" ca="1" si="12"/>
        <v>0</v>
      </c>
      <c r="K52" s="12">
        <f t="shared" ca="1" si="12"/>
        <v>0</v>
      </c>
      <c r="L52" s="12">
        <f t="shared" ca="1" si="12"/>
        <v>0</v>
      </c>
      <c r="M52" s="12">
        <f t="shared" si="12"/>
        <v>0</v>
      </c>
      <c r="N52" s="12">
        <f t="shared" si="12"/>
        <v>0</v>
      </c>
      <c r="O52" s="12">
        <f t="shared" si="12"/>
        <v>0</v>
      </c>
      <c r="P52" s="12">
        <f t="shared" si="12"/>
        <v>0</v>
      </c>
      <c r="Q52" s="12">
        <f t="shared" si="12"/>
        <v>0</v>
      </c>
      <c r="R52" s="12">
        <f t="shared" si="12"/>
        <v>0</v>
      </c>
      <c r="S52" s="12">
        <f t="shared" si="12"/>
        <v>0</v>
      </c>
      <c r="T52" s="12">
        <f t="shared" si="12"/>
        <v>0</v>
      </c>
      <c r="U52" s="12">
        <f t="shared" si="12"/>
        <v>0</v>
      </c>
      <c r="V52" s="12">
        <f t="shared" si="12"/>
        <v>0</v>
      </c>
      <c r="W52" s="12">
        <f t="shared" si="12"/>
        <v>0</v>
      </c>
      <c r="X52" s="12">
        <f t="shared" si="12"/>
        <v>0</v>
      </c>
      <c r="Y52" s="12">
        <f t="shared" si="12"/>
        <v>0</v>
      </c>
      <c r="Z52" s="12">
        <f t="shared" si="12"/>
        <v>0</v>
      </c>
      <c r="AA52" s="12">
        <f t="shared" si="12"/>
        <v>0</v>
      </c>
      <c r="AB52" s="12">
        <f t="shared" si="12"/>
        <v>0</v>
      </c>
      <c r="AC52" s="12">
        <f t="shared" si="12"/>
        <v>0</v>
      </c>
      <c r="AD52" s="12">
        <f t="shared" si="12"/>
        <v>0</v>
      </c>
      <c r="AE52" s="12">
        <f t="shared" si="12"/>
        <v>0</v>
      </c>
      <c r="AF52" s="12">
        <f t="shared" si="12"/>
        <v>0</v>
      </c>
      <c r="AH52">
        <f t="shared" ca="1" si="5"/>
        <v>0</v>
      </c>
      <c r="AI52">
        <f t="shared" ca="1" si="6"/>
        <v>0</v>
      </c>
    </row>
    <row r="53" spans="1:35" x14ac:dyDescent="0.45">
      <c r="A53" s="135"/>
      <c r="B53" t="s">
        <v>85</v>
      </c>
      <c r="C53" s="12">
        <f t="shared" ref="C53:AF53" ca="1" si="13">C42* (1+$H$7)^-(C$45-1-$H$3)</f>
        <v>1905.1066056097754</v>
      </c>
      <c r="D53" s="12">
        <f t="shared" ca="1" si="13"/>
        <v>1800.6583450782348</v>
      </c>
      <c r="E53" s="12">
        <f t="shared" ca="1" si="13"/>
        <v>1670.0246281041134</v>
      </c>
      <c r="F53" s="12">
        <f t="shared" ca="1" si="13"/>
        <v>1522.0337098755383</v>
      </c>
      <c r="G53" s="12">
        <f t="shared" ca="1" si="13"/>
        <v>1300.3019241402408</v>
      </c>
      <c r="H53" s="12">
        <f t="shared" ca="1" si="13"/>
        <v>1110.8723039130807</v>
      </c>
      <c r="I53" s="12">
        <f t="shared" ca="1" si="13"/>
        <v>949.03902908326529</v>
      </c>
      <c r="J53" s="12">
        <f t="shared" ca="1" si="13"/>
        <v>810.78182933416565</v>
      </c>
      <c r="K53" s="12">
        <f t="shared" ca="1" si="13"/>
        <v>692.66611238680809</v>
      </c>
      <c r="L53" s="12">
        <f t="shared" ca="1" si="13"/>
        <v>591.75764168650232</v>
      </c>
      <c r="M53" s="12">
        <f t="shared" si="13"/>
        <v>0</v>
      </c>
      <c r="N53" s="12">
        <f t="shared" si="13"/>
        <v>0</v>
      </c>
      <c r="O53" s="12">
        <f t="shared" si="13"/>
        <v>0</v>
      </c>
      <c r="P53" s="12">
        <f t="shared" si="13"/>
        <v>0</v>
      </c>
      <c r="Q53" s="12">
        <f t="shared" si="13"/>
        <v>0</v>
      </c>
      <c r="R53" s="12">
        <f t="shared" si="13"/>
        <v>0</v>
      </c>
      <c r="S53" s="12">
        <f t="shared" si="13"/>
        <v>0</v>
      </c>
      <c r="T53" s="12">
        <f t="shared" si="13"/>
        <v>0</v>
      </c>
      <c r="U53" s="12">
        <f t="shared" si="13"/>
        <v>0</v>
      </c>
      <c r="V53" s="12">
        <f t="shared" si="13"/>
        <v>0</v>
      </c>
      <c r="W53" s="12">
        <f t="shared" si="13"/>
        <v>0</v>
      </c>
      <c r="X53" s="12">
        <f t="shared" si="13"/>
        <v>0</v>
      </c>
      <c r="Y53" s="12">
        <f t="shared" si="13"/>
        <v>0</v>
      </c>
      <c r="Z53" s="12">
        <f t="shared" si="13"/>
        <v>0</v>
      </c>
      <c r="AA53" s="12">
        <f t="shared" si="13"/>
        <v>0</v>
      </c>
      <c r="AB53" s="12">
        <f t="shared" si="13"/>
        <v>0</v>
      </c>
      <c r="AC53" s="12">
        <f t="shared" si="13"/>
        <v>0</v>
      </c>
      <c r="AD53" s="12">
        <f t="shared" si="13"/>
        <v>0</v>
      </c>
      <c r="AE53" s="12">
        <f t="shared" si="13"/>
        <v>0</v>
      </c>
      <c r="AF53" s="12">
        <f t="shared" si="13"/>
        <v>0</v>
      </c>
      <c r="AH53">
        <f t="shared" ca="1" si="5"/>
        <v>12353.242129211727</v>
      </c>
      <c r="AI53">
        <f t="shared" ca="1" si="6"/>
        <v>1235.3242129211726</v>
      </c>
    </row>
    <row r="54" spans="1:35" x14ac:dyDescent="0.45">
      <c r="A54" s="135"/>
      <c r="B54" t="s">
        <v>87</v>
      </c>
      <c r="C54" s="12">
        <f t="shared" ref="C54:AF54" ca="1" si="14">C43* (1+$H$7)^-(C$45-1-$H$3)</f>
        <v>148232.66779820487</v>
      </c>
      <c r="D54" s="12">
        <f t="shared" ca="1" si="14"/>
        <v>140105.75024940103</v>
      </c>
      <c r="E54" s="12">
        <f t="shared" ca="1" si="14"/>
        <v>129941.39287724669</v>
      </c>
      <c r="F54" s="12">
        <f t="shared" ca="1" si="14"/>
        <v>118426.50517787502</v>
      </c>
      <c r="G54" s="12">
        <f t="shared" ca="1" si="14"/>
        <v>101173.9829103965</v>
      </c>
      <c r="H54" s="12">
        <f t="shared" ca="1" si="14"/>
        <v>86434.82979235606</v>
      </c>
      <c r="I54" s="12">
        <f t="shared" ca="1" si="14"/>
        <v>73842.895043977318</v>
      </c>
      <c r="J54" s="12">
        <f t="shared" ca="1" si="14"/>
        <v>63085.369191738377</v>
      </c>
      <c r="K54" s="12">
        <f t="shared" ca="1" si="14"/>
        <v>53895.013239767708</v>
      </c>
      <c r="L54" s="12">
        <f t="shared" ca="1" si="14"/>
        <v>46043.519905327426</v>
      </c>
      <c r="M54" s="12">
        <f t="shared" si="14"/>
        <v>0</v>
      </c>
      <c r="N54" s="12">
        <f t="shared" si="14"/>
        <v>0</v>
      </c>
      <c r="O54" s="12">
        <f t="shared" si="14"/>
        <v>0</v>
      </c>
      <c r="P54" s="12">
        <f t="shared" si="14"/>
        <v>0</v>
      </c>
      <c r="Q54" s="12">
        <f t="shared" si="14"/>
        <v>0</v>
      </c>
      <c r="R54" s="12">
        <f t="shared" si="14"/>
        <v>0</v>
      </c>
      <c r="S54" s="12">
        <f t="shared" si="14"/>
        <v>0</v>
      </c>
      <c r="T54" s="12">
        <f t="shared" si="14"/>
        <v>0</v>
      </c>
      <c r="U54" s="12">
        <f t="shared" si="14"/>
        <v>0</v>
      </c>
      <c r="V54" s="12">
        <f t="shared" si="14"/>
        <v>0</v>
      </c>
      <c r="W54" s="12">
        <f t="shared" si="14"/>
        <v>0</v>
      </c>
      <c r="X54" s="12">
        <f t="shared" si="14"/>
        <v>0</v>
      </c>
      <c r="Y54" s="12">
        <f t="shared" si="14"/>
        <v>0</v>
      </c>
      <c r="Z54" s="12">
        <f t="shared" si="14"/>
        <v>0</v>
      </c>
      <c r="AA54" s="12">
        <f t="shared" si="14"/>
        <v>0</v>
      </c>
      <c r="AB54" s="12">
        <f t="shared" si="14"/>
        <v>0</v>
      </c>
      <c r="AC54" s="12">
        <f t="shared" si="14"/>
        <v>0</v>
      </c>
      <c r="AD54" s="12">
        <f t="shared" si="14"/>
        <v>0</v>
      </c>
      <c r="AE54" s="12">
        <f t="shared" si="14"/>
        <v>0</v>
      </c>
      <c r="AF54" s="12">
        <f t="shared" si="14"/>
        <v>0</v>
      </c>
      <c r="AH54">
        <f t="shared" ca="1" si="5"/>
        <v>961181.92618629115</v>
      </c>
      <c r="AI54">
        <f t="shared" ca="1" si="6"/>
        <v>96118.192618629109</v>
      </c>
    </row>
    <row r="55" spans="1:35" x14ac:dyDescent="0.45">
      <c r="A55" s="32"/>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spans="1:35" x14ac:dyDescent="0.45">
      <c r="A56" s="134" t="s">
        <v>364</v>
      </c>
      <c r="B56" t="s">
        <v>0</v>
      </c>
      <c r="C56">
        <v>1</v>
      </c>
      <c r="D56">
        <v>2</v>
      </c>
      <c r="E56">
        <v>3</v>
      </c>
      <c r="F56">
        <v>4</v>
      </c>
      <c r="G56">
        <v>5</v>
      </c>
      <c r="H56">
        <v>6</v>
      </c>
      <c r="I56">
        <v>7</v>
      </c>
      <c r="J56">
        <v>8</v>
      </c>
      <c r="K56">
        <v>9</v>
      </c>
      <c r="L56">
        <v>10</v>
      </c>
      <c r="M56">
        <v>11</v>
      </c>
      <c r="N56">
        <v>12</v>
      </c>
      <c r="O56">
        <v>13</v>
      </c>
      <c r="P56">
        <v>14</v>
      </c>
      <c r="Q56">
        <v>15</v>
      </c>
      <c r="R56">
        <v>16</v>
      </c>
      <c r="S56">
        <v>17</v>
      </c>
      <c r="T56">
        <v>18</v>
      </c>
      <c r="U56">
        <v>19</v>
      </c>
      <c r="V56">
        <v>20</v>
      </c>
      <c r="W56">
        <v>21</v>
      </c>
      <c r="X56">
        <v>22</v>
      </c>
      <c r="Y56">
        <v>23</v>
      </c>
      <c r="Z56">
        <v>24</v>
      </c>
      <c r="AA56">
        <v>25</v>
      </c>
      <c r="AB56">
        <v>26</v>
      </c>
      <c r="AC56">
        <v>27</v>
      </c>
      <c r="AD56">
        <v>28</v>
      </c>
      <c r="AE56">
        <v>29</v>
      </c>
      <c r="AF56">
        <v>30</v>
      </c>
      <c r="AH56" t="s">
        <v>113</v>
      </c>
      <c r="AI56" t="s">
        <v>114</v>
      </c>
    </row>
    <row r="57" spans="1:35" x14ac:dyDescent="0.45">
      <c r="A57" s="135"/>
      <c r="B57" t="s">
        <v>39</v>
      </c>
      <c r="C57" s="12">
        <f ca="1">IF(AND(C$56&gt;$H$3, C$56&lt;=$H$4),ResidualValue!C16,0)</f>
        <v>53522.05892201457</v>
      </c>
      <c r="D57" s="12">
        <f ca="1">IF(AND(D$56&gt;$H$3, D$56&lt;=$H$4),ResidualValue!D16,0)</f>
        <v>48865.901573504307</v>
      </c>
      <c r="E57" s="12">
        <f ca="1">IF(AND(E$56&gt;$H$3, E$56&lt;=$H$4),ResidualValue!E16,0)</f>
        <v>44538.97422778848</v>
      </c>
      <c r="F57" s="12">
        <f ca="1">IF(AND(F$56&gt;$H$3, F$56&lt;=$H$4),ResidualValue!F16,0)</f>
        <v>40543.257764170667</v>
      </c>
      <c r="G57" s="12">
        <f ca="1">IF(AND(G$56&gt;$H$3, G$56&lt;=$H$4),ResidualValue!G16,0)</f>
        <v>36727.105718893326</v>
      </c>
      <c r="H57" s="12">
        <f ca="1">IF(AND(H$56&gt;$H$3, H$56&lt;=$H$4),ResidualValue!H16,0)</f>
        <v>33327.900054978847</v>
      </c>
      <c r="I57" s="12">
        <f ca="1">IF(AND(I$56&gt;$H$3, I$56&lt;=$H$4),ResidualValue!I16,0)</f>
        <v>30290.82744247984</v>
      </c>
      <c r="J57" s="12">
        <f ca="1">IF(AND(J$56&gt;$H$3, J$56&lt;=$H$4),ResidualValue!J16,0)</f>
        <v>27569.65022033513</v>
      </c>
      <c r="K57" s="12">
        <f ca="1">IF(AND(K$56&gt;$H$3, K$56&lt;=$H$4),ResidualValue!K16,0)</f>
        <v>25125.173634911091</v>
      </c>
      <c r="L57" s="12">
        <f ca="1">IF(AND(L$56&gt;$H$3, L$56&lt;=$H$4),ResidualValue!L16,0)</f>
        <v>22924.014843756057</v>
      </c>
      <c r="M57" s="12">
        <f>IF(AND(M$56&gt;$H$3, M$56&lt;=$H$4),ResidualValue!M16,0)</f>
        <v>0</v>
      </c>
      <c r="N57" s="12">
        <f>IF(AND(N$56&gt;$H$3, N$56&lt;=$H$4),ResidualValue!N16,0)</f>
        <v>0</v>
      </c>
      <c r="O57" s="12">
        <f>IF(AND(O$56&gt;$H$3, O$56&lt;=$H$4),ResidualValue!O16,0)</f>
        <v>0</v>
      </c>
      <c r="P57" s="12">
        <f>IF(AND(P$56&gt;$H$3, P$56&lt;=$H$4),ResidualValue!P16,0)</f>
        <v>0</v>
      </c>
      <c r="Q57" s="12">
        <f>IF(AND(Q$56&gt;$H$3, Q$56&lt;=$H$4),ResidualValue!Q16,0)</f>
        <v>0</v>
      </c>
      <c r="R57" s="12">
        <f>IF(AND(R$56&gt;$H$3, R$56&lt;=$H$4),ResidualValue!R16,0)</f>
        <v>0</v>
      </c>
      <c r="S57" s="12">
        <f>IF(AND(S$56&gt;$H$3, S$56&lt;=$H$4),ResidualValue!S16,0)</f>
        <v>0</v>
      </c>
      <c r="T57" s="12">
        <f>IF(AND(T$56&gt;$H$3, T$56&lt;=$H$4),ResidualValue!T16,0)</f>
        <v>0</v>
      </c>
      <c r="U57" s="12">
        <f>IF(AND(U$56&gt;$H$3, U$56&lt;=$H$4),ResidualValue!U16,0)</f>
        <v>0</v>
      </c>
      <c r="V57" s="12">
        <f>IF(AND(V$56&gt;$H$3, V$56&lt;=$H$4),ResidualValue!V16,0)</f>
        <v>0</v>
      </c>
      <c r="W57" s="12">
        <f>IF(AND(W$56&gt;$H$3, W$56&lt;=$H$4),ResidualValue!W16,0)</f>
        <v>0</v>
      </c>
      <c r="X57" s="12">
        <f>IF(AND(X$56&gt;$H$3, X$56&lt;=$H$4),ResidualValue!X16,0)</f>
        <v>0</v>
      </c>
      <c r="Y57" s="12">
        <f>IF(AND(Y$56&gt;$H$3, Y$56&lt;=$H$4),ResidualValue!Y16,0)</f>
        <v>0</v>
      </c>
      <c r="Z57" s="12">
        <f>IF(AND(Z$56&gt;$H$3, Z$56&lt;=$H$4),ResidualValue!Z16,0)</f>
        <v>0</v>
      </c>
      <c r="AA57" s="12">
        <f>IF(AND(AA$56&gt;$H$3, AA$56&lt;=$H$4),ResidualValue!AA16,0)</f>
        <v>0</v>
      </c>
      <c r="AB57" s="12">
        <f>IF(AND(AB$56&gt;$H$3, AB$56&lt;=$H$4),ResidualValue!AB16,0)</f>
        <v>0</v>
      </c>
      <c r="AC57" s="12">
        <f>IF(AND(AC$56&gt;$H$3, AC$56&lt;=$H$4),ResidualValue!AC16,0)</f>
        <v>0</v>
      </c>
      <c r="AD57" s="12">
        <f>IF(AND(AD$56&gt;$H$3, AD$56&lt;=$H$4),ResidualValue!AD16,0)</f>
        <v>0</v>
      </c>
      <c r="AE57" s="12">
        <f>IF(AND(AE$56&gt;$H$3, AE$56&lt;=$H$4),ResidualValue!AE16,0)</f>
        <v>0</v>
      </c>
      <c r="AF57" s="12">
        <f>IF(AND(AF$56&gt;$H$3, AF$56&lt;=$H$4),ResidualValue!AF16,0)</f>
        <v>0</v>
      </c>
      <c r="AH57">
        <f t="shared" ref="AH57:AH65" ca="1" si="15">SUMIFS($C57:$AF57,C$34:AF$34,"&lt;="&amp;$H$4,C$34:AF$34,"&gt;"&amp;$H$3)</f>
        <v>363434.86440283223</v>
      </c>
      <c r="AI57">
        <f t="shared" ref="AI57:AI65" ca="1" si="16">AH57/($H$4-$H$3)</f>
        <v>36343.486440283225</v>
      </c>
    </row>
    <row r="58" spans="1:35" x14ac:dyDescent="0.45">
      <c r="A58" s="135"/>
      <c r="B58" t="s">
        <v>4</v>
      </c>
      <c r="C58" s="12">
        <f t="shared" ref="C58:Q58" ca="1" si="17">C36</f>
        <v>15786.090933882107</v>
      </c>
      <c r="D58" s="12">
        <f t="shared" ca="1" si="17"/>
        <v>12735.107525265281</v>
      </c>
      <c r="E58" s="12">
        <f t="shared" ca="1" si="17"/>
        <v>9559.8223451587401</v>
      </c>
      <c r="F58" s="12">
        <f t="shared" ca="1" si="17"/>
        <v>6255.1711476042983</v>
      </c>
      <c r="G58" s="12">
        <f t="shared" ca="1" si="17"/>
        <v>2815.8833614497707</v>
      </c>
      <c r="H58" s="12">
        <f t="shared" ca="1" si="17"/>
        <v>150.28527079805281</v>
      </c>
      <c r="I58" s="12">
        <f t="shared" ca="1" si="17"/>
        <v>0</v>
      </c>
      <c r="J58" s="12">
        <f t="shared" ca="1" si="17"/>
        <v>0</v>
      </c>
      <c r="K58" s="12">
        <f t="shared" ca="1" si="17"/>
        <v>0</v>
      </c>
      <c r="L58" s="12">
        <f t="shared" ca="1" si="17"/>
        <v>0</v>
      </c>
      <c r="M58" s="12">
        <f t="shared" si="17"/>
        <v>0</v>
      </c>
      <c r="N58" s="12">
        <f t="shared" si="17"/>
        <v>0</v>
      </c>
      <c r="O58" s="12">
        <f t="shared" si="17"/>
        <v>0</v>
      </c>
      <c r="P58" s="12">
        <f t="shared" si="17"/>
        <v>0</v>
      </c>
      <c r="Q58" s="12">
        <f t="shared" si="17"/>
        <v>0</v>
      </c>
      <c r="R58" s="12">
        <f t="shared" ref="R58:AF58" si="18">R36</f>
        <v>0</v>
      </c>
      <c r="S58" s="12">
        <f t="shared" si="18"/>
        <v>0</v>
      </c>
      <c r="T58" s="12">
        <f t="shared" si="18"/>
        <v>0</v>
      </c>
      <c r="U58" s="12">
        <f t="shared" si="18"/>
        <v>0</v>
      </c>
      <c r="V58" s="12">
        <f t="shared" si="18"/>
        <v>0</v>
      </c>
      <c r="W58" s="12">
        <f t="shared" si="18"/>
        <v>0</v>
      </c>
      <c r="X58" s="12">
        <f t="shared" si="18"/>
        <v>0</v>
      </c>
      <c r="Y58" s="12">
        <f t="shared" si="18"/>
        <v>0</v>
      </c>
      <c r="Z58" s="12">
        <f t="shared" si="18"/>
        <v>0</v>
      </c>
      <c r="AA58" s="12">
        <f t="shared" si="18"/>
        <v>0</v>
      </c>
      <c r="AB58" s="12">
        <f t="shared" si="18"/>
        <v>0</v>
      </c>
      <c r="AC58" s="12">
        <f t="shared" si="18"/>
        <v>0</v>
      </c>
      <c r="AD58" s="12">
        <f t="shared" si="18"/>
        <v>0</v>
      </c>
      <c r="AE58" s="12">
        <f t="shared" si="18"/>
        <v>0</v>
      </c>
      <c r="AF58" s="12">
        <f t="shared" si="18"/>
        <v>0</v>
      </c>
      <c r="AH58">
        <f t="shared" ca="1" si="15"/>
        <v>47302.360584158247</v>
      </c>
      <c r="AI58">
        <f t="shared" ca="1" si="16"/>
        <v>4730.236058415825</v>
      </c>
    </row>
    <row r="59" spans="1:35" x14ac:dyDescent="0.45">
      <c r="A59" s="135"/>
      <c r="B59" t="s">
        <v>54</v>
      </c>
      <c r="C59" s="12">
        <f t="shared" ref="C59:Q59" ca="1" si="19">C37</f>
        <v>11565.449659918078</v>
      </c>
      <c r="D59" s="12">
        <f t="shared" ca="1" si="19"/>
        <v>11477.937535128354</v>
      </c>
      <c r="E59" s="12">
        <f t="shared" ca="1" si="19"/>
        <v>11177.500904984699</v>
      </c>
      <c r="F59" s="12">
        <f t="shared" ca="1" si="19"/>
        <v>10696.345148099797</v>
      </c>
      <c r="G59" s="12">
        <f t="shared" ca="1" si="19"/>
        <v>9594.9925362714985</v>
      </c>
      <c r="H59" s="12">
        <f t="shared" ca="1" si="19"/>
        <v>8607.0410496674085</v>
      </c>
      <c r="I59" s="12">
        <f t="shared" ca="1" si="19"/>
        <v>7720.8143050257031</v>
      </c>
      <c r="J59" s="12">
        <f t="shared" ca="1" si="19"/>
        <v>6925.8381816353731</v>
      </c>
      <c r="K59" s="12">
        <f t="shared" ca="1" si="19"/>
        <v>6212.717029986733</v>
      </c>
      <c r="L59" s="12">
        <f t="shared" ca="1" si="19"/>
        <v>5573.0226266379796</v>
      </c>
      <c r="M59" s="12">
        <f t="shared" si="19"/>
        <v>0</v>
      </c>
      <c r="N59" s="12">
        <f t="shared" si="19"/>
        <v>0</v>
      </c>
      <c r="O59" s="12">
        <f t="shared" si="19"/>
        <v>0</v>
      </c>
      <c r="P59" s="12">
        <f t="shared" si="19"/>
        <v>0</v>
      </c>
      <c r="Q59" s="12">
        <f t="shared" si="19"/>
        <v>0</v>
      </c>
      <c r="R59" s="12">
        <f t="shared" ref="R59:AF59" si="20">R37</f>
        <v>0</v>
      </c>
      <c r="S59" s="12">
        <f t="shared" si="20"/>
        <v>0</v>
      </c>
      <c r="T59" s="12">
        <f t="shared" si="20"/>
        <v>0</v>
      </c>
      <c r="U59" s="12">
        <f t="shared" si="20"/>
        <v>0</v>
      </c>
      <c r="V59" s="12">
        <f t="shared" si="20"/>
        <v>0</v>
      </c>
      <c r="W59" s="12">
        <f t="shared" si="20"/>
        <v>0</v>
      </c>
      <c r="X59" s="12">
        <f t="shared" si="20"/>
        <v>0</v>
      </c>
      <c r="Y59" s="12">
        <f t="shared" si="20"/>
        <v>0</v>
      </c>
      <c r="Z59" s="12">
        <f t="shared" si="20"/>
        <v>0</v>
      </c>
      <c r="AA59" s="12">
        <f t="shared" si="20"/>
        <v>0</v>
      </c>
      <c r="AB59" s="12">
        <f t="shared" si="20"/>
        <v>0</v>
      </c>
      <c r="AC59" s="12">
        <f t="shared" si="20"/>
        <v>0</v>
      </c>
      <c r="AD59" s="12">
        <f t="shared" si="20"/>
        <v>0</v>
      </c>
      <c r="AE59" s="12">
        <f t="shared" si="20"/>
        <v>0</v>
      </c>
      <c r="AF59" s="12">
        <f t="shared" si="20"/>
        <v>0</v>
      </c>
      <c r="AH59">
        <f t="shared" ca="1" si="15"/>
        <v>89551.658977355619</v>
      </c>
      <c r="AI59">
        <f t="shared" ca="1" si="16"/>
        <v>8955.1658977355619</v>
      </c>
    </row>
    <row r="60" spans="1:35" x14ac:dyDescent="0.45">
      <c r="A60" s="135"/>
      <c r="B60" t="s">
        <v>25</v>
      </c>
      <c r="C60" s="12">
        <f t="shared" ref="C60:Q60" ca="1" si="21">C38</f>
        <v>35000</v>
      </c>
      <c r="D60" s="12">
        <f t="shared" ca="1" si="21"/>
        <v>35000</v>
      </c>
      <c r="E60" s="12">
        <f t="shared" ca="1" si="21"/>
        <v>35000</v>
      </c>
      <c r="F60" s="12">
        <f t="shared" ca="1" si="21"/>
        <v>35000</v>
      </c>
      <c r="G60" s="12">
        <f t="shared" ca="1" si="21"/>
        <v>35000</v>
      </c>
      <c r="H60" s="12">
        <f t="shared" ca="1" si="21"/>
        <v>35000</v>
      </c>
      <c r="I60" s="12">
        <f t="shared" ca="1" si="21"/>
        <v>35000</v>
      </c>
      <c r="J60" s="12">
        <f t="shared" ca="1" si="21"/>
        <v>35000</v>
      </c>
      <c r="K60" s="12">
        <f t="shared" ca="1" si="21"/>
        <v>35000</v>
      </c>
      <c r="L60" s="12">
        <f t="shared" ca="1" si="21"/>
        <v>35000</v>
      </c>
      <c r="M60" s="12">
        <f t="shared" si="21"/>
        <v>0</v>
      </c>
      <c r="N60" s="12">
        <f t="shared" si="21"/>
        <v>0</v>
      </c>
      <c r="O60" s="12">
        <f t="shared" si="21"/>
        <v>0</v>
      </c>
      <c r="P60" s="12">
        <f t="shared" si="21"/>
        <v>0</v>
      </c>
      <c r="Q60" s="12">
        <f t="shared" si="21"/>
        <v>0</v>
      </c>
      <c r="R60" s="12">
        <f t="shared" ref="R60:AF60" si="22">R38</f>
        <v>0</v>
      </c>
      <c r="S60" s="12">
        <f t="shared" si="22"/>
        <v>0</v>
      </c>
      <c r="T60" s="12">
        <f t="shared" si="22"/>
        <v>0</v>
      </c>
      <c r="U60" s="12">
        <f t="shared" si="22"/>
        <v>0</v>
      </c>
      <c r="V60" s="12">
        <f t="shared" si="22"/>
        <v>0</v>
      </c>
      <c r="W60" s="12">
        <f t="shared" si="22"/>
        <v>0</v>
      </c>
      <c r="X60" s="12">
        <f t="shared" si="22"/>
        <v>0</v>
      </c>
      <c r="Y60" s="12">
        <f t="shared" si="22"/>
        <v>0</v>
      </c>
      <c r="Z60" s="12">
        <f t="shared" si="22"/>
        <v>0</v>
      </c>
      <c r="AA60" s="12">
        <f t="shared" si="22"/>
        <v>0</v>
      </c>
      <c r="AB60" s="12">
        <f t="shared" si="22"/>
        <v>0</v>
      </c>
      <c r="AC60" s="12">
        <f t="shared" si="22"/>
        <v>0</v>
      </c>
      <c r="AD60" s="12">
        <f t="shared" si="22"/>
        <v>0</v>
      </c>
      <c r="AE60" s="12">
        <f t="shared" si="22"/>
        <v>0</v>
      </c>
      <c r="AF60" s="12">
        <f t="shared" si="22"/>
        <v>0</v>
      </c>
      <c r="AH60">
        <f t="shared" ca="1" si="15"/>
        <v>350000</v>
      </c>
      <c r="AI60">
        <f t="shared" ca="1" si="16"/>
        <v>35000</v>
      </c>
    </row>
    <row r="61" spans="1:35" x14ac:dyDescent="0.45">
      <c r="A61" s="135"/>
      <c r="B61" t="s">
        <v>41</v>
      </c>
      <c r="C61" s="12">
        <f t="shared" ref="C61:Q61" ca="1" si="23">C39</f>
        <v>104359.38979415604</v>
      </c>
      <c r="D61" s="12">
        <f t="shared" ca="1" si="23"/>
        <v>222</v>
      </c>
      <c r="E61" s="12">
        <f t="shared" ca="1" si="23"/>
        <v>222</v>
      </c>
      <c r="F61" s="12">
        <f t="shared" ca="1" si="23"/>
        <v>222</v>
      </c>
      <c r="G61" s="12">
        <f t="shared" ca="1" si="23"/>
        <v>222</v>
      </c>
      <c r="H61" s="12">
        <f t="shared" ca="1" si="23"/>
        <v>222</v>
      </c>
      <c r="I61" s="12">
        <f t="shared" ca="1" si="23"/>
        <v>222</v>
      </c>
      <c r="J61" s="12">
        <f t="shared" ca="1" si="23"/>
        <v>222</v>
      </c>
      <c r="K61" s="12">
        <f t="shared" ca="1" si="23"/>
        <v>222</v>
      </c>
      <c r="L61" s="12">
        <f t="shared" ca="1" si="23"/>
        <v>222</v>
      </c>
      <c r="M61" s="12">
        <f t="shared" si="23"/>
        <v>0</v>
      </c>
      <c r="N61" s="12">
        <f t="shared" si="23"/>
        <v>0</v>
      </c>
      <c r="O61" s="12">
        <f t="shared" si="23"/>
        <v>0</v>
      </c>
      <c r="P61" s="12">
        <f t="shared" si="23"/>
        <v>0</v>
      </c>
      <c r="Q61" s="12">
        <f t="shared" si="23"/>
        <v>0</v>
      </c>
      <c r="R61" s="12">
        <f t="shared" ref="R61:AF61" si="24">R39</f>
        <v>0</v>
      </c>
      <c r="S61" s="12">
        <f t="shared" si="24"/>
        <v>0</v>
      </c>
      <c r="T61" s="12">
        <f t="shared" si="24"/>
        <v>0</v>
      </c>
      <c r="U61" s="12">
        <f t="shared" si="24"/>
        <v>0</v>
      </c>
      <c r="V61" s="12">
        <f t="shared" si="24"/>
        <v>0</v>
      </c>
      <c r="W61" s="12">
        <f t="shared" si="24"/>
        <v>0</v>
      </c>
      <c r="X61" s="12">
        <f t="shared" si="24"/>
        <v>0</v>
      </c>
      <c r="Y61" s="12">
        <f t="shared" si="24"/>
        <v>0</v>
      </c>
      <c r="Z61" s="12">
        <f t="shared" si="24"/>
        <v>0</v>
      </c>
      <c r="AA61" s="12">
        <f t="shared" si="24"/>
        <v>0</v>
      </c>
      <c r="AB61" s="12">
        <f t="shared" si="24"/>
        <v>0</v>
      </c>
      <c r="AC61" s="12">
        <f t="shared" si="24"/>
        <v>0</v>
      </c>
      <c r="AD61" s="12">
        <f t="shared" si="24"/>
        <v>0</v>
      </c>
      <c r="AE61" s="12">
        <f t="shared" si="24"/>
        <v>0</v>
      </c>
      <c r="AF61" s="12">
        <f t="shared" si="24"/>
        <v>0</v>
      </c>
      <c r="AH61">
        <f t="shared" ca="1" si="15"/>
        <v>106357.38979415604</v>
      </c>
      <c r="AI61">
        <f t="shared" ca="1" si="16"/>
        <v>10635.738979415604</v>
      </c>
    </row>
    <row r="62" spans="1:35" x14ac:dyDescent="0.45">
      <c r="A62" s="135"/>
      <c r="B62" t="s">
        <v>23</v>
      </c>
      <c r="C62" s="12">
        <f t="shared" ref="C62:Q62" ca="1" si="25">C40</f>
        <v>27680.332823461667</v>
      </c>
      <c r="D62" s="12">
        <f t="shared" ca="1" si="25"/>
        <v>30261.220566406901</v>
      </c>
      <c r="E62" s="12">
        <f t="shared" ca="1" si="25"/>
        <v>32095.929495202425</v>
      </c>
      <c r="F62" s="12">
        <f t="shared" ca="1" si="25"/>
        <v>38466.267943635161</v>
      </c>
      <c r="G62" s="12">
        <f t="shared" ca="1" si="25"/>
        <v>40354.403463353505</v>
      </c>
      <c r="H62" s="12">
        <f t="shared" ca="1" si="25"/>
        <v>39330.131179694064</v>
      </c>
      <c r="I62" s="12">
        <f t="shared" ca="1" si="25"/>
        <v>40176.9998261781</v>
      </c>
      <c r="J62" s="12">
        <f t="shared" ca="1" si="25"/>
        <v>40567.150198495016</v>
      </c>
      <c r="K62" s="12">
        <f t="shared" ca="1" si="25"/>
        <v>40646.803228155441</v>
      </c>
      <c r="L62" s="12">
        <f t="shared" ca="1" si="25"/>
        <v>43051.49632571471</v>
      </c>
      <c r="M62" s="12">
        <f t="shared" si="25"/>
        <v>0</v>
      </c>
      <c r="N62" s="12">
        <f t="shared" si="25"/>
        <v>0</v>
      </c>
      <c r="O62" s="12">
        <f t="shared" si="25"/>
        <v>0</v>
      </c>
      <c r="P62" s="12">
        <f t="shared" si="25"/>
        <v>0</v>
      </c>
      <c r="Q62" s="12">
        <f t="shared" si="25"/>
        <v>0</v>
      </c>
      <c r="R62" s="12">
        <f t="shared" ref="R62:AF62" si="26">R40</f>
        <v>0</v>
      </c>
      <c r="S62" s="12">
        <f t="shared" si="26"/>
        <v>0</v>
      </c>
      <c r="T62" s="12">
        <f t="shared" si="26"/>
        <v>0</v>
      </c>
      <c r="U62" s="12">
        <f t="shared" si="26"/>
        <v>0</v>
      </c>
      <c r="V62" s="12">
        <f t="shared" si="26"/>
        <v>0</v>
      </c>
      <c r="W62" s="12">
        <f t="shared" si="26"/>
        <v>0</v>
      </c>
      <c r="X62" s="12">
        <f t="shared" si="26"/>
        <v>0</v>
      </c>
      <c r="Y62" s="12">
        <f t="shared" si="26"/>
        <v>0</v>
      </c>
      <c r="Z62" s="12">
        <f t="shared" si="26"/>
        <v>0</v>
      </c>
      <c r="AA62" s="12">
        <f t="shared" si="26"/>
        <v>0</v>
      </c>
      <c r="AB62" s="12">
        <f t="shared" si="26"/>
        <v>0</v>
      </c>
      <c r="AC62" s="12">
        <f t="shared" si="26"/>
        <v>0</v>
      </c>
      <c r="AD62" s="12">
        <f t="shared" si="26"/>
        <v>0</v>
      </c>
      <c r="AE62" s="12">
        <f t="shared" si="26"/>
        <v>0</v>
      </c>
      <c r="AF62" s="12">
        <f t="shared" si="26"/>
        <v>0</v>
      </c>
      <c r="AH62">
        <f t="shared" ca="1" si="15"/>
        <v>372630.73505029693</v>
      </c>
      <c r="AI62">
        <f t="shared" ca="1" si="16"/>
        <v>37263.073505029693</v>
      </c>
    </row>
    <row r="63" spans="1:35" x14ac:dyDescent="0.45">
      <c r="A63" s="135"/>
      <c r="B63" t="s">
        <v>40</v>
      </c>
      <c r="C63" s="12">
        <f t="shared" ref="C63:Q63" ca="1" si="27">C41</f>
        <v>0</v>
      </c>
      <c r="D63" s="12">
        <f t="shared" ca="1" si="27"/>
        <v>0</v>
      </c>
      <c r="E63" s="12">
        <f t="shared" ca="1" si="27"/>
        <v>0</v>
      </c>
      <c r="F63" s="12">
        <f t="shared" ca="1" si="27"/>
        <v>0</v>
      </c>
      <c r="G63" s="12">
        <f t="shared" ca="1" si="27"/>
        <v>0</v>
      </c>
      <c r="H63" s="12">
        <f t="shared" ca="1" si="27"/>
        <v>0</v>
      </c>
      <c r="I63" s="12">
        <f t="shared" ca="1" si="27"/>
        <v>0</v>
      </c>
      <c r="J63" s="12">
        <f t="shared" ca="1" si="27"/>
        <v>0</v>
      </c>
      <c r="K63" s="12">
        <f t="shared" ca="1" si="27"/>
        <v>0</v>
      </c>
      <c r="L63" s="12">
        <f t="shared" ca="1" si="27"/>
        <v>0</v>
      </c>
      <c r="M63" s="12">
        <f t="shared" si="27"/>
        <v>0</v>
      </c>
      <c r="N63" s="12">
        <f t="shared" si="27"/>
        <v>0</v>
      </c>
      <c r="O63" s="12">
        <f t="shared" si="27"/>
        <v>0</v>
      </c>
      <c r="P63" s="12">
        <f t="shared" si="27"/>
        <v>0</v>
      </c>
      <c r="Q63" s="12">
        <f t="shared" si="27"/>
        <v>0</v>
      </c>
      <c r="R63" s="12">
        <f t="shared" ref="R63:AF63" si="28">R41</f>
        <v>0</v>
      </c>
      <c r="S63" s="12">
        <f t="shared" si="28"/>
        <v>0</v>
      </c>
      <c r="T63" s="12">
        <f t="shared" si="28"/>
        <v>0</v>
      </c>
      <c r="U63" s="12">
        <f t="shared" si="28"/>
        <v>0</v>
      </c>
      <c r="V63" s="12">
        <f t="shared" si="28"/>
        <v>0</v>
      </c>
      <c r="W63" s="12">
        <f t="shared" si="28"/>
        <v>0</v>
      </c>
      <c r="X63" s="12">
        <f t="shared" si="28"/>
        <v>0</v>
      </c>
      <c r="Y63" s="12">
        <f t="shared" si="28"/>
        <v>0</v>
      </c>
      <c r="Z63" s="12">
        <f t="shared" si="28"/>
        <v>0</v>
      </c>
      <c r="AA63" s="12">
        <f t="shared" si="28"/>
        <v>0</v>
      </c>
      <c r="AB63" s="12">
        <f t="shared" si="28"/>
        <v>0</v>
      </c>
      <c r="AC63" s="12">
        <f t="shared" si="28"/>
        <v>0</v>
      </c>
      <c r="AD63" s="12">
        <f t="shared" si="28"/>
        <v>0</v>
      </c>
      <c r="AE63" s="12">
        <f t="shared" si="28"/>
        <v>0</v>
      </c>
      <c r="AF63" s="12">
        <f t="shared" si="28"/>
        <v>0</v>
      </c>
      <c r="AH63">
        <f t="shared" ca="1" si="15"/>
        <v>0</v>
      </c>
      <c r="AI63">
        <f t="shared" ca="1" si="16"/>
        <v>0</v>
      </c>
    </row>
    <row r="64" spans="1:35" x14ac:dyDescent="0.45">
      <c r="A64" s="135"/>
      <c r="B64" t="s">
        <v>85</v>
      </c>
      <c r="C64" s="12">
        <f t="shared" ref="C64:Q64" ca="1" si="29">C42</f>
        <v>1905.1066056097754</v>
      </c>
      <c r="D64" s="12">
        <f t="shared" ca="1" si="29"/>
        <v>1890.6912623321466</v>
      </c>
      <c r="E64" s="12">
        <f t="shared" ca="1" si="29"/>
        <v>1841.2021524847851</v>
      </c>
      <c r="F64" s="12">
        <f t="shared" ca="1" si="29"/>
        <v>1761.9442733946701</v>
      </c>
      <c r="G64" s="12">
        <f t="shared" ca="1" si="29"/>
        <v>1580.5251156794886</v>
      </c>
      <c r="H64" s="12">
        <f t="shared" ca="1" si="29"/>
        <v>1417.7858397761615</v>
      </c>
      <c r="I64" s="12">
        <f t="shared" ca="1" si="29"/>
        <v>1271.8030656574665</v>
      </c>
      <c r="J64" s="12">
        <f t="shared" ca="1" si="29"/>
        <v>1140.8514547381121</v>
      </c>
      <c r="K64" s="12">
        <f t="shared" ca="1" si="29"/>
        <v>1023.3833184740962</v>
      </c>
      <c r="L64" s="12">
        <f t="shared" ca="1" si="29"/>
        <v>918.0103265691755</v>
      </c>
      <c r="M64" s="12">
        <f t="shared" si="29"/>
        <v>0</v>
      </c>
      <c r="N64" s="12">
        <f t="shared" si="29"/>
        <v>0</v>
      </c>
      <c r="O64" s="12">
        <f t="shared" si="29"/>
        <v>0</v>
      </c>
      <c r="P64" s="12">
        <f t="shared" si="29"/>
        <v>0</v>
      </c>
      <c r="Q64" s="12">
        <f t="shared" si="29"/>
        <v>0</v>
      </c>
      <c r="R64" s="12">
        <f t="shared" ref="R64:AF64" si="30">R42</f>
        <v>0</v>
      </c>
      <c r="S64" s="12">
        <f t="shared" si="30"/>
        <v>0</v>
      </c>
      <c r="T64" s="12">
        <f t="shared" si="30"/>
        <v>0</v>
      </c>
      <c r="U64" s="12">
        <f t="shared" si="30"/>
        <v>0</v>
      </c>
      <c r="V64" s="12">
        <f t="shared" si="30"/>
        <v>0</v>
      </c>
      <c r="W64" s="12">
        <f t="shared" si="30"/>
        <v>0</v>
      </c>
      <c r="X64" s="12">
        <f t="shared" si="30"/>
        <v>0</v>
      </c>
      <c r="Y64" s="12">
        <f t="shared" si="30"/>
        <v>0</v>
      </c>
      <c r="Z64" s="12">
        <f t="shared" si="30"/>
        <v>0</v>
      </c>
      <c r="AA64" s="12">
        <f t="shared" si="30"/>
        <v>0</v>
      </c>
      <c r="AB64" s="12">
        <f t="shared" si="30"/>
        <v>0</v>
      </c>
      <c r="AC64" s="12">
        <f t="shared" si="30"/>
        <v>0</v>
      </c>
      <c r="AD64" s="12">
        <f t="shared" si="30"/>
        <v>0</v>
      </c>
      <c r="AE64" s="12">
        <f t="shared" si="30"/>
        <v>0</v>
      </c>
      <c r="AF64" s="12">
        <f t="shared" si="30"/>
        <v>0</v>
      </c>
      <c r="AH64">
        <f t="shared" ca="1" si="15"/>
        <v>14751.303414715878</v>
      </c>
      <c r="AI64">
        <f t="shared" ca="1" si="16"/>
        <v>1475.1303414715878</v>
      </c>
    </row>
    <row r="65" spans="1:35" x14ac:dyDescent="0.45">
      <c r="A65" s="135"/>
      <c r="B65" t="s">
        <v>87</v>
      </c>
      <c r="C65" s="12">
        <f t="shared" ref="C65:Q65" ca="1" si="31">C43</f>
        <v>148232.66779820487</v>
      </c>
      <c r="D65" s="12">
        <f t="shared" ca="1" si="31"/>
        <v>147111.03776187109</v>
      </c>
      <c r="E65" s="12">
        <f t="shared" ca="1" si="31"/>
        <v>143260.38564716448</v>
      </c>
      <c r="F65" s="12">
        <f t="shared" ca="1" si="31"/>
        <v>137093.48305653757</v>
      </c>
      <c r="G65" s="12">
        <f t="shared" ca="1" si="31"/>
        <v>122977.60856498014</v>
      </c>
      <c r="H65" s="12">
        <f t="shared" ca="1" si="31"/>
        <v>110315.17962180976</v>
      </c>
      <c r="I65" s="12">
        <f t="shared" ca="1" si="31"/>
        <v>98956.541739563429</v>
      </c>
      <c r="J65" s="12">
        <f t="shared" ca="1" si="31"/>
        <v>88767.449653120653</v>
      </c>
      <c r="K65" s="12">
        <f t="shared" ca="1" si="31"/>
        <v>79627.480704178393</v>
      </c>
      <c r="L65" s="12">
        <f t="shared" ca="1" si="31"/>
        <v>71428.611592102883</v>
      </c>
      <c r="M65" s="12">
        <f t="shared" si="31"/>
        <v>0</v>
      </c>
      <c r="N65" s="12">
        <f t="shared" si="31"/>
        <v>0</v>
      </c>
      <c r="O65" s="12">
        <f t="shared" si="31"/>
        <v>0</v>
      </c>
      <c r="P65" s="12">
        <f t="shared" si="31"/>
        <v>0</v>
      </c>
      <c r="Q65" s="12">
        <f t="shared" si="31"/>
        <v>0</v>
      </c>
      <c r="R65" s="12">
        <f t="shared" ref="R65:AF65" si="32">R43</f>
        <v>0</v>
      </c>
      <c r="S65" s="12">
        <f t="shared" si="32"/>
        <v>0</v>
      </c>
      <c r="T65" s="12">
        <f t="shared" si="32"/>
        <v>0</v>
      </c>
      <c r="U65" s="12">
        <f t="shared" si="32"/>
        <v>0</v>
      </c>
      <c r="V65" s="12">
        <f t="shared" si="32"/>
        <v>0</v>
      </c>
      <c r="W65" s="12">
        <f t="shared" si="32"/>
        <v>0</v>
      </c>
      <c r="X65" s="12">
        <f t="shared" si="32"/>
        <v>0</v>
      </c>
      <c r="Y65" s="12">
        <f t="shared" si="32"/>
        <v>0</v>
      </c>
      <c r="Z65" s="12">
        <f t="shared" si="32"/>
        <v>0</v>
      </c>
      <c r="AA65" s="12">
        <f t="shared" si="32"/>
        <v>0</v>
      </c>
      <c r="AB65" s="12">
        <f t="shared" si="32"/>
        <v>0</v>
      </c>
      <c r="AC65" s="12">
        <f t="shared" si="32"/>
        <v>0</v>
      </c>
      <c r="AD65" s="12">
        <f t="shared" si="32"/>
        <v>0</v>
      </c>
      <c r="AE65" s="12">
        <f t="shared" si="32"/>
        <v>0</v>
      </c>
      <c r="AF65" s="12">
        <f t="shared" si="32"/>
        <v>0</v>
      </c>
      <c r="AH65">
        <f t="shared" ca="1" si="15"/>
        <v>1147770.4461395331</v>
      </c>
      <c r="AI65">
        <f t="shared" ca="1" si="16"/>
        <v>114777.0446139533</v>
      </c>
    </row>
    <row r="66" spans="1:35" x14ac:dyDescent="0.45">
      <c r="A66" s="3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5" x14ac:dyDescent="0.45">
      <c r="A67" s="134" t="s">
        <v>365</v>
      </c>
      <c r="B67" t="s">
        <v>0</v>
      </c>
      <c r="C67">
        <v>1</v>
      </c>
      <c r="D67">
        <v>2</v>
      </c>
      <c r="E67">
        <v>3</v>
      </c>
      <c r="F67">
        <v>4</v>
      </c>
      <c r="G67">
        <v>5</v>
      </c>
      <c r="H67">
        <v>6</v>
      </c>
      <c r="I67">
        <v>7</v>
      </c>
      <c r="J67">
        <v>8</v>
      </c>
      <c r="K67">
        <v>9</v>
      </c>
      <c r="L67">
        <v>10</v>
      </c>
      <c r="M67">
        <v>11</v>
      </c>
      <c r="N67">
        <v>12</v>
      </c>
      <c r="O67">
        <v>13</v>
      </c>
      <c r="P67">
        <v>14</v>
      </c>
      <c r="Q67">
        <v>15</v>
      </c>
      <c r="R67">
        <v>16</v>
      </c>
      <c r="S67">
        <v>17</v>
      </c>
      <c r="T67">
        <v>18</v>
      </c>
      <c r="U67">
        <v>19</v>
      </c>
      <c r="V67">
        <v>20</v>
      </c>
      <c r="W67">
        <v>21</v>
      </c>
      <c r="X67">
        <v>22</v>
      </c>
      <c r="Y67">
        <v>23</v>
      </c>
      <c r="Z67">
        <v>24</v>
      </c>
      <c r="AA67">
        <v>25</v>
      </c>
      <c r="AB67">
        <v>26</v>
      </c>
      <c r="AC67">
        <v>27</v>
      </c>
      <c r="AD67">
        <v>28</v>
      </c>
      <c r="AE67">
        <v>29</v>
      </c>
      <c r="AF67">
        <v>30</v>
      </c>
      <c r="AH67" t="s">
        <v>113</v>
      </c>
      <c r="AI67" t="s">
        <v>114</v>
      </c>
    </row>
    <row r="68" spans="1:35" x14ac:dyDescent="0.45">
      <c r="A68" s="135"/>
      <c r="B68" t="s">
        <v>39</v>
      </c>
      <c r="C68" s="12">
        <f ca="1">C57* (1+$H$7)^-(C$45-1-$H$3)</f>
        <v>53522.05892201457</v>
      </c>
      <c r="D68" s="12">
        <f t="shared" ref="D68:AF68" ca="1" si="33">D57* (1+$H$7)^-(D$45-1-$H$3)</f>
        <v>46538.953879527908</v>
      </c>
      <c r="E68" s="12">
        <f t="shared" ca="1" si="33"/>
        <v>40398.162564887505</v>
      </c>
      <c r="F68" s="12">
        <f t="shared" ca="1" si="33"/>
        <v>35022.790423643812</v>
      </c>
      <c r="G68" s="12">
        <f t="shared" ca="1" si="33"/>
        <v>30215.480766876623</v>
      </c>
      <c r="H68" s="12">
        <f t="shared" ca="1" si="33"/>
        <v>26113.281766521519</v>
      </c>
      <c r="I68" s="12">
        <f t="shared" ca="1" si="33"/>
        <v>22603.481814441737</v>
      </c>
      <c r="J68" s="12">
        <f t="shared" ca="1" si="33"/>
        <v>19593.235689809968</v>
      </c>
      <c r="K68" s="12">
        <f t="shared" ca="1" si="33"/>
        <v>17005.706493913214</v>
      </c>
      <c r="L68" s="12">
        <f t="shared" ca="1" si="33"/>
        <v>14777.024363794288</v>
      </c>
      <c r="M68" s="12">
        <f t="shared" si="33"/>
        <v>0</v>
      </c>
      <c r="N68" s="12">
        <f t="shared" si="33"/>
        <v>0</v>
      </c>
      <c r="O68" s="12">
        <f t="shared" si="33"/>
        <v>0</v>
      </c>
      <c r="P68" s="12">
        <f t="shared" si="33"/>
        <v>0</v>
      </c>
      <c r="Q68" s="12">
        <f t="shared" si="33"/>
        <v>0</v>
      </c>
      <c r="R68" s="12">
        <f t="shared" si="33"/>
        <v>0</v>
      </c>
      <c r="S68" s="12">
        <f t="shared" si="33"/>
        <v>0</v>
      </c>
      <c r="T68" s="12">
        <f t="shared" si="33"/>
        <v>0</v>
      </c>
      <c r="U68" s="12">
        <f t="shared" si="33"/>
        <v>0</v>
      </c>
      <c r="V68" s="12">
        <f t="shared" si="33"/>
        <v>0</v>
      </c>
      <c r="W68" s="12">
        <f t="shared" si="33"/>
        <v>0</v>
      </c>
      <c r="X68" s="12">
        <f t="shared" si="33"/>
        <v>0</v>
      </c>
      <c r="Y68" s="12">
        <f t="shared" si="33"/>
        <v>0</v>
      </c>
      <c r="Z68" s="12">
        <f t="shared" si="33"/>
        <v>0</v>
      </c>
      <c r="AA68" s="12">
        <f t="shared" si="33"/>
        <v>0</v>
      </c>
      <c r="AB68" s="12">
        <f t="shared" si="33"/>
        <v>0</v>
      </c>
      <c r="AC68" s="12">
        <f t="shared" si="33"/>
        <v>0</v>
      </c>
      <c r="AD68" s="12">
        <f t="shared" si="33"/>
        <v>0</v>
      </c>
      <c r="AE68" s="12">
        <f t="shared" si="33"/>
        <v>0</v>
      </c>
      <c r="AF68" s="12">
        <f t="shared" si="33"/>
        <v>0</v>
      </c>
      <c r="AH68">
        <f t="shared" ref="AH68:AH76" ca="1" si="34">SUMIFS($C68:$AF68,C$34:AF$34,"&lt;="&amp;$H$4,C$34:AF$34,"&gt;"&amp;$H$3)</f>
        <v>305790.1766854311</v>
      </c>
      <c r="AI68">
        <f t="shared" ref="AI68:AI76" ca="1" si="35">AH68/($H$4-$H$3)</f>
        <v>30579.017668543111</v>
      </c>
    </row>
    <row r="69" spans="1:35" x14ac:dyDescent="0.45">
      <c r="A69" s="135"/>
      <c r="B69" t="s">
        <v>4</v>
      </c>
      <c r="C69" s="12">
        <f t="shared" ref="C69:AF69" ca="1" si="36">C58* (1+$H$7)^-(C$45-1-$H$3)</f>
        <v>15786.090933882107</v>
      </c>
      <c r="D69" s="12">
        <f t="shared" ca="1" si="36"/>
        <v>12128.673833585981</v>
      </c>
      <c r="E69" s="12">
        <f t="shared" ca="1" si="36"/>
        <v>8671.0406758809422</v>
      </c>
      <c r="F69" s="12">
        <f t="shared" ca="1" si="36"/>
        <v>5403.4520225498736</v>
      </c>
      <c r="G69" s="12">
        <f t="shared" ca="1" si="36"/>
        <v>2316.63421019001</v>
      </c>
      <c r="H69" s="12">
        <f t="shared" ca="1" si="36"/>
        <v>117.75244210507256</v>
      </c>
      <c r="I69" s="12">
        <f t="shared" ca="1" si="36"/>
        <v>0</v>
      </c>
      <c r="J69" s="12">
        <f t="shared" ca="1" si="36"/>
        <v>0</v>
      </c>
      <c r="K69" s="12">
        <f t="shared" ca="1" si="36"/>
        <v>0</v>
      </c>
      <c r="L69" s="12">
        <f t="shared" ca="1" si="36"/>
        <v>0</v>
      </c>
      <c r="M69" s="12">
        <f t="shared" si="36"/>
        <v>0</v>
      </c>
      <c r="N69" s="12">
        <f t="shared" si="36"/>
        <v>0</v>
      </c>
      <c r="O69" s="12">
        <f t="shared" si="36"/>
        <v>0</v>
      </c>
      <c r="P69" s="12">
        <f t="shared" si="36"/>
        <v>0</v>
      </c>
      <c r="Q69" s="12">
        <f t="shared" si="36"/>
        <v>0</v>
      </c>
      <c r="R69" s="12">
        <f t="shared" si="36"/>
        <v>0</v>
      </c>
      <c r="S69" s="12">
        <f t="shared" si="36"/>
        <v>0</v>
      </c>
      <c r="T69" s="12">
        <f t="shared" si="36"/>
        <v>0</v>
      </c>
      <c r="U69" s="12">
        <f t="shared" si="36"/>
        <v>0</v>
      </c>
      <c r="V69" s="12">
        <f t="shared" si="36"/>
        <v>0</v>
      </c>
      <c r="W69" s="12">
        <f t="shared" si="36"/>
        <v>0</v>
      </c>
      <c r="X69" s="12">
        <f t="shared" si="36"/>
        <v>0</v>
      </c>
      <c r="Y69" s="12">
        <f t="shared" si="36"/>
        <v>0</v>
      </c>
      <c r="Z69" s="12">
        <f t="shared" si="36"/>
        <v>0</v>
      </c>
      <c r="AA69" s="12">
        <f t="shared" si="36"/>
        <v>0</v>
      </c>
      <c r="AB69" s="12">
        <f t="shared" si="36"/>
        <v>0</v>
      </c>
      <c r="AC69" s="12">
        <f t="shared" si="36"/>
        <v>0</v>
      </c>
      <c r="AD69" s="12">
        <f t="shared" si="36"/>
        <v>0</v>
      </c>
      <c r="AE69" s="12">
        <f t="shared" si="36"/>
        <v>0</v>
      </c>
      <c r="AF69" s="12">
        <f t="shared" si="36"/>
        <v>0</v>
      </c>
      <c r="AH69">
        <f t="shared" ca="1" si="34"/>
        <v>44423.644118193981</v>
      </c>
      <c r="AI69">
        <f t="shared" ca="1" si="35"/>
        <v>4442.3644118193979</v>
      </c>
    </row>
    <row r="70" spans="1:35" x14ac:dyDescent="0.45">
      <c r="A70" s="135"/>
      <c r="B70" t="s">
        <v>54</v>
      </c>
      <c r="C70" s="12">
        <f t="shared" ref="C70:AF70" ca="1" si="37">C59* (1+$H$7)^-(C$45-1-$H$3)</f>
        <v>11565.449659918078</v>
      </c>
      <c r="D70" s="12">
        <f t="shared" ca="1" si="37"/>
        <v>10931.369081074623</v>
      </c>
      <c r="E70" s="12">
        <f t="shared" ca="1" si="37"/>
        <v>10138.322816312651</v>
      </c>
      <c r="F70" s="12">
        <f t="shared" ca="1" si="37"/>
        <v>9239.9051057983343</v>
      </c>
      <c r="G70" s="12">
        <f t="shared" ca="1" si="37"/>
        <v>7893.8241052001977</v>
      </c>
      <c r="H70" s="12">
        <f t="shared" ca="1" si="37"/>
        <v>6743.8418782825656</v>
      </c>
      <c r="I70" s="12">
        <f t="shared" ca="1" si="37"/>
        <v>5761.390508982503</v>
      </c>
      <c r="J70" s="12">
        <f t="shared" ca="1" si="37"/>
        <v>4922.063891190609</v>
      </c>
      <c r="K70" s="12">
        <f t="shared" ca="1" si="37"/>
        <v>4205.0114310409808</v>
      </c>
      <c r="L70" s="12">
        <f t="shared" ca="1" si="37"/>
        <v>3592.4200754143699</v>
      </c>
      <c r="M70" s="12">
        <f t="shared" si="37"/>
        <v>0</v>
      </c>
      <c r="N70" s="12">
        <f t="shared" si="37"/>
        <v>0</v>
      </c>
      <c r="O70" s="12">
        <f t="shared" si="37"/>
        <v>0</v>
      </c>
      <c r="P70" s="12">
        <f t="shared" si="37"/>
        <v>0</v>
      </c>
      <c r="Q70" s="12">
        <f t="shared" si="37"/>
        <v>0</v>
      </c>
      <c r="R70" s="12">
        <f t="shared" si="37"/>
        <v>0</v>
      </c>
      <c r="S70" s="12">
        <f t="shared" si="37"/>
        <v>0</v>
      </c>
      <c r="T70" s="12">
        <f t="shared" si="37"/>
        <v>0</v>
      </c>
      <c r="U70" s="12">
        <f t="shared" si="37"/>
        <v>0</v>
      </c>
      <c r="V70" s="12">
        <f t="shared" si="37"/>
        <v>0</v>
      </c>
      <c r="W70" s="12">
        <f t="shared" si="37"/>
        <v>0</v>
      </c>
      <c r="X70" s="12">
        <f t="shared" si="37"/>
        <v>0</v>
      </c>
      <c r="Y70" s="12">
        <f t="shared" si="37"/>
        <v>0</v>
      </c>
      <c r="Z70" s="12">
        <f t="shared" si="37"/>
        <v>0</v>
      </c>
      <c r="AA70" s="12">
        <f t="shared" si="37"/>
        <v>0</v>
      </c>
      <c r="AB70" s="12">
        <f t="shared" si="37"/>
        <v>0</v>
      </c>
      <c r="AC70" s="12">
        <f t="shared" si="37"/>
        <v>0</v>
      </c>
      <c r="AD70" s="12">
        <f t="shared" si="37"/>
        <v>0</v>
      </c>
      <c r="AE70" s="12">
        <f t="shared" si="37"/>
        <v>0</v>
      </c>
      <c r="AF70" s="12">
        <f t="shared" si="37"/>
        <v>0</v>
      </c>
      <c r="AH70">
        <f t="shared" ca="1" si="34"/>
        <v>74993.598553214921</v>
      </c>
      <c r="AI70">
        <f t="shared" ca="1" si="35"/>
        <v>7499.3598553214924</v>
      </c>
    </row>
    <row r="71" spans="1:35" x14ac:dyDescent="0.45">
      <c r="A71" s="135"/>
      <c r="B71" t="s">
        <v>25</v>
      </c>
      <c r="C71" s="12">
        <f t="shared" ref="C71:AF71" ca="1" si="38">C60* (1+$H$7)^-(C$45-1-$H$3)</f>
        <v>35000</v>
      </c>
      <c r="D71" s="12">
        <f t="shared" ca="1" si="38"/>
        <v>33333.333333333328</v>
      </c>
      <c r="E71" s="12">
        <f t="shared" ca="1" si="38"/>
        <v>31746.031746031742</v>
      </c>
      <c r="F71" s="12">
        <f t="shared" ca="1" si="38"/>
        <v>30234.315948601659</v>
      </c>
      <c r="G71" s="12">
        <f t="shared" ca="1" si="38"/>
        <v>28794.586617715868</v>
      </c>
      <c r="H71" s="12">
        <f t="shared" ca="1" si="38"/>
        <v>27423.415826396063</v>
      </c>
      <c r="I71" s="12">
        <f t="shared" ca="1" si="38"/>
        <v>26117.538882281966</v>
      </c>
      <c r="J71" s="12">
        <f t="shared" ca="1" si="38"/>
        <v>24873.846554554253</v>
      </c>
      <c r="K71" s="12">
        <f t="shared" ca="1" si="38"/>
        <v>23689.377671004051</v>
      </c>
      <c r="L71" s="12">
        <f t="shared" ca="1" si="38"/>
        <v>22561.312067622905</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12">
        <f t="shared" si="38"/>
        <v>0</v>
      </c>
      <c r="W71" s="12">
        <f t="shared" si="38"/>
        <v>0</v>
      </c>
      <c r="X71" s="12">
        <f t="shared" si="38"/>
        <v>0</v>
      </c>
      <c r="Y71" s="12">
        <f t="shared" si="38"/>
        <v>0</v>
      </c>
      <c r="Z71" s="12">
        <f t="shared" si="38"/>
        <v>0</v>
      </c>
      <c r="AA71" s="12">
        <f t="shared" si="38"/>
        <v>0</v>
      </c>
      <c r="AB71" s="12">
        <f t="shared" si="38"/>
        <v>0</v>
      </c>
      <c r="AC71" s="12">
        <f t="shared" si="38"/>
        <v>0</v>
      </c>
      <c r="AD71" s="12">
        <f t="shared" si="38"/>
        <v>0</v>
      </c>
      <c r="AE71" s="12">
        <f t="shared" si="38"/>
        <v>0</v>
      </c>
      <c r="AF71" s="12">
        <f t="shared" si="38"/>
        <v>0</v>
      </c>
      <c r="AH71">
        <f t="shared" ca="1" si="34"/>
        <v>283773.75864754181</v>
      </c>
      <c r="AI71">
        <f t="shared" ca="1" si="35"/>
        <v>28377.37586475418</v>
      </c>
    </row>
    <row r="72" spans="1:35" x14ac:dyDescent="0.45">
      <c r="A72" s="135"/>
      <c r="B72" t="s">
        <v>41</v>
      </c>
      <c r="C72" s="12">
        <f t="shared" ref="C72:AF72" ca="1" si="39">C61* (1+$H$7)^-(C$45-1-$H$3)</f>
        <v>104359.38979415604</v>
      </c>
      <c r="D72" s="12">
        <f t="shared" ca="1" si="39"/>
        <v>211.42857142857142</v>
      </c>
      <c r="E72" s="12">
        <f t="shared" ca="1" si="39"/>
        <v>201.36054421768705</v>
      </c>
      <c r="F72" s="12">
        <f t="shared" ca="1" si="39"/>
        <v>191.77194687398767</v>
      </c>
      <c r="G72" s="12">
        <f t="shared" ca="1" si="39"/>
        <v>182.6399494037978</v>
      </c>
      <c r="H72" s="12">
        <f t="shared" ca="1" si="39"/>
        <v>173.94280895599789</v>
      </c>
      <c r="I72" s="12">
        <f t="shared" ca="1" si="39"/>
        <v>165.65981805333132</v>
      </c>
      <c r="J72" s="12">
        <f t="shared" ca="1" si="39"/>
        <v>157.77125528888698</v>
      </c>
      <c r="K72" s="12">
        <f t="shared" ca="1" si="39"/>
        <v>150.25833837036856</v>
      </c>
      <c r="L72" s="12">
        <f t="shared" ca="1" si="39"/>
        <v>143.103179400351</v>
      </c>
      <c r="M72" s="12">
        <f t="shared" si="39"/>
        <v>0</v>
      </c>
      <c r="N72" s="12">
        <f t="shared" si="39"/>
        <v>0</v>
      </c>
      <c r="O72" s="12">
        <f t="shared" si="39"/>
        <v>0</v>
      </c>
      <c r="P72" s="12">
        <f t="shared" si="39"/>
        <v>0</v>
      </c>
      <c r="Q72" s="12">
        <f t="shared" si="39"/>
        <v>0</v>
      </c>
      <c r="R72" s="12">
        <f t="shared" si="39"/>
        <v>0</v>
      </c>
      <c r="S72" s="12">
        <f t="shared" si="39"/>
        <v>0</v>
      </c>
      <c r="T72" s="12">
        <f t="shared" si="39"/>
        <v>0</v>
      </c>
      <c r="U72" s="12">
        <f t="shared" si="39"/>
        <v>0</v>
      </c>
      <c r="V72" s="12">
        <f t="shared" si="39"/>
        <v>0</v>
      </c>
      <c r="W72" s="12">
        <f t="shared" si="39"/>
        <v>0</v>
      </c>
      <c r="X72" s="12">
        <f t="shared" si="39"/>
        <v>0</v>
      </c>
      <c r="Y72" s="12">
        <f t="shared" si="39"/>
        <v>0</v>
      </c>
      <c r="Z72" s="12">
        <f t="shared" si="39"/>
        <v>0</v>
      </c>
      <c r="AA72" s="12">
        <f t="shared" si="39"/>
        <v>0</v>
      </c>
      <c r="AB72" s="12">
        <f t="shared" si="39"/>
        <v>0</v>
      </c>
      <c r="AC72" s="12">
        <f t="shared" si="39"/>
        <v>0</v>
      </c>
      <c r="AD72" s="12">
        <f t="shared" si="39"/>
        <v>0</v>
      </c>
      <c r="AE72" s="12">
        <f t="shared" si="39"/>
        <v>0</v>
      </c>
      <c r="AF72" s="12">
        <f t="shared" si="39"/>
        <v>0</v>
      </c>
      <c r="AH72">
        <f t="shared" ca="1" si="34"/>
        <v>105937.32620614902</v>
      </c>
      <c r="AI72">
        <f t="shared" ca="1" si="35"/>
        <v>10593.732620614903</v>
      </c>
    </row>
    <row r="73" spans="1:35" x14ac:dyDescent="0.45">
      <c r="A73" s="135"/>
      <c r="B73" t="s">
        <v>23</v>
      </c>
      <c r="C73" s="12">
        <f t="shared" ref="C73:AF73" ca="1" si="40">C62* (1+$H$7)^-(C$45-1-$H$3)</f>
        <v>27680.332823461667</v>
      </c>
      <c r="D73" s="12">
        <f t="shared" ca="1" si="40"/>
        <v>28820.210063244667</v>
      </c>
      <c r="E73" s="12">
        <f t="shared" ca="1" si="40"/>
        <v>29111.954190659795</v>
      </c>
      <c r="F73" s="12">
        <f t="shared" ca="1" si="40"/>
        <v>33228.608524898096</v>
      </c>
      <c r="G73" s="12">
        <f t="shared" ca="1" si="40"/>
        <v>33199.667598051019</v>
      </c>
      <c r="H73" s="12">
        <f t="shared" ca="1" si="40"/>
        <v>30816.186909927299</v>
      </c>
      <c r="I73" s="12">
        <f t="shared" ca="1" si="40"/>
        <v>29980.695860961208</v>
      </c>
      <c r="J73" s="12">
        <f t="shared" ca="1" si="40"/>
        <v>28830.316262654858</v>
      </c>
      <c r="K73" s="12">
        <f t="shared" ca="1" si="40"/>
        <v>27511.356365450312</v>
      </c>
      <c r="L73" s="12">
        <f t="shared" ca="1" si="40"/>
        <v>27751.378388073441</v>
      </c>
      <c r="M73" s="12">
        <f t="shared" si="40"/>
        <v>0</v>
      </c>
      <c r="N73" s="12">
        <f t="shared" si="40"/>
        <v>0</v>
      </c>
      <c r="O73" s="12">
        <f t="shared" si="40"/>
        <v>0</v>
      </c>
      <c r="P73" s="12">
        <f t="shared" si="40"/>
        <v>0</v>
      </c>
      <c r="Q73" s="12">
        <f t="shared" si="40"/>
        <v>0</v>
      </c>
      <c r="R73" s="12">
        <f t="shared" si="40"/>
        <v>0</v>
      </c>
      <c r="S73" s="12">
        <f t="shared" si="40"/>
        <v>0</v>
      </c>
      <c r="T73" s="12">
        <f t="shared" si="40"/>
        <v>0</v>
      </c>
      <c r="U73" s="12">
        <f t="shared" si="40"/>
        <v>0</v>
      </c>
      <c r="V73" s="12">
        <f t="shared" si="40"/>
        <v>0</v>
      </c>
      <c r="W73" s="12">
        <f t="shared" si="40"/>
        <v>0</v>
      </c>
      <c r="X73" s="12">
        <f t="shared" si="40"/>
        <v>0</v>
      </c>
      <c r="Y73" s="12">
        <f t="shared" si="40"/>
        <v>0</v>
      </c>
      <c r="Z73" s="12">
        <f t="shared" si="40"/>
        <v>0</v>
      </c>
      <c r="AA73" s="12">
        <f t="shared" si="40"/>
        <v>0</v>
      </c>
      <c r="AB73" s="12">
        <f t="shared" si="40"/>
        <v>0</v>
      </c>
      <c r="AC73" s="12">
        <f t="shared" si="40"/>
        <v>0</v>
      </c>
      <c r="AD73" s="12">
        <f t="shared" si="40"/>
        <v>0</v>
      </c>
      <c r="AE73" s="12">
        <f t="shared" si="40"/>
        <v>0</v>
      </c>
      <c r="AF73" s="12">
        <f t="shared" si="40"/>
        <v>0</v>
      </c>
      <c r="AH73">
        <f t="shared" ca="1" si="34"/>
        <v>296930.70698738238</v>
      </c>
      <c r="AI73">
        <f t="shared" ca="1" si="35"/>
        <v>29693.070698738236</v>
      </c>
    </row>
    <row r="74" spans="1:35" x14ac:dyDescent="0.45">
      <c r="A74" s="135"/>
      <c r="B74" t="s">
        <v>40</v>
      </c>
      <c r="C74" s="12">
        <f t="shared" ref="C74:AF74" ca="1" si="41">C63* (1+$H$7)^-(C$45-1-$H$3)</f>
        <v>0</v>
      </c>
      <c r="D74" s="12">
        <f t="shared" ca="1" si="41"/>
        <v>0</v>
      </c>
      <c r="E74" s="12">
        <f t="shared" ca="1" si="41"/>
        <v>0</v>
      </c>
      <c r="F74" s="12">
        <f t="shared" ca="1" si="41"/>
        <v>0</v>
      </c>
      <c r="G74" s="12">
        <f t="shared" ca="1" si="41"/>
        <v>0</v>
      </c>
      <c r="H74" s="12">
        <f t="shared" ca="1" si="41"/>
        <v>0</v>
      </c>
      <c r="I74" s="12">
        <f t="shared" ca="1" si="41"/>
        <v>0</v>
      </c>
      <c r="J74" s="12">
        <f t="shared" ca="1" si="41"/>
        <v>0</v>
      </c>
      <c r="K74" s="12">
        <f t="shared" ca="1" si="41"/>
        <v>0</v>
      </c>
      <c r="L74" s="12">
        <f t="shared" ca="1" si="41"/>
        <v>0</v>
      </c>
      <c r="M74" s="12">
        <f t="shared" si="41"/>
        <v>0</v>
      </c>
      <c r="N74" s="12">
        <f t="shared" si="41"/>
        <v>0</v>
      </c>
      <c r="O74" s="12">
        <f t="shared" si="41"/>
        <v>0</v>
      </c>
      <c r="P74" s="12">
        <f t="shared" si="41"/>
        <v>0</v>
      </c>
      <c r="Q74" s="12">
        <f t="shared" si="41"/>
        <v>0</v>
      </c>
      <c r="R74" s="12">
        <f t="shared" si="41"/>
        <v>0</v>
      </c>
      <c r="S74" s="12">
        <f t="shared" si="41"/>
        <v>0</v>
      </c>
      <c r="T74" s="12">
        <f t="shared" si="41"/>
        <v>0</v>
      </c>
      <c r="U74" s="12">
        <f t="shared" si="41"/>
        <v>0</v>
      </c>
      <c r="V74" s="12">
        <f t="shared" si="41"/>
        <v>0</v>
      </c>
      <c r="W74" s="12">
        <f t="shared" si="41"/>
        <v>0</v>
      </c>
      <c r="X74" s="12">
        <f t="shared" si="41"/>
        <v>0</v>
      </c>
      <c r="Y74" s="12">
        <f t="shared" si="41"/>
        <v>0</v>
      </c>
      <c r="Z74" s="12">
        <f t="shared" si="41"/>
        <v>0</v>
      </c>
      <c r="AA74" s="12">
        <f t="shared" si="41"/>
        <v>0</v>
      </c>
      <c r="AB74" s="12">
        <f t="shared" si="41"/>
        <v>0</v>
      </c>
      <c r="AC74" s="12">
        <f t="shared" si="41"/>
        <v>0</v>
      </c>
      <c r="AD74" s="12">
        <f t="shared" si="41"/>
        <v>0</v>
      </c>
      <c r="AE74" s="12">
        <f t="shared" si="41"/>
        <v>0</v>
      </c>
      <c r="AF74" s="12">
        <f t="shared" si="41"/>
        <v>0</v>
      </c>
      <c r="AH74">
        <f t="shared" ca="1" si="34"/>
        <v>0</v>
      </c>
      <c r="AI74">
        <f t="shared" ca="1" si="35"/>
        <v>0</v>
      </c>
    </row>
    <row r="75" spans="1:35" x14ac:dyDescent="0.45">
      <c r="A75" s="135"/>
      <c r="B75" t="s">
        <v>85</v>
      </c>
      <c r="C75" s="12">
        <f t="shared" ref="C75:AF75" ca="1" si="42">C64* (1+$H$7)^-(C$45-1-$H$3)</f>
        <v>1905.1066056097754</v>
      </c>
      <c r="D75" s="12">
        <f t="shared" ca="1" si="42"/>
        <v>1800.6583450782348</v>
      </c>
      <c r="E75" s="12">
        <f t="shared" ca="1" si="42"/>
        <v>1670.0246281041134</v>
      </c>
      <c r="F75" s="12">
        <f t="shared" ca="1" si="42"/>
        <v>1522.0337098755383</v>
      </c>
      <c r="G75" s="12">
        <f t="shared" ca="1" si="42"/>
        <v>1300.3019241402408</v>
      </c>
      <c r="H75" s="12">
        <f t="shared" ca="1" si="42"/>
        <v>1110.8723039130807</v>
      </c>
      <c r="I75" s="12">
        <f t="shared" ca="1" si="42"/>
        <v>949.03902908326529</v>
      </c>
      <c r="J75" s="12">
        <f t="shared" ca="1" si="42"/>
        <v>810.78182933416565</v>
      </c>
      <c r="K75" s="12">
        <f t="shared" ca="1" si="42"/>
        <v>692.66611238680809</v>
      </c>
      <c r="L75" s="12">
        <f t="shared" ca="1" si="42"/>
        <v>591.75764168650232</v>
      </c>
      <c r="M75" s="12">
        <f t="shared" si="42"/>
        <v>0</v>
      </c>
      <c r="N75" s="12">
        <f t="shared" si="42"/>
        <v>0</v>
      </c>
      <c r="O75" s="12">
        <f t="shared" si="42"/>
        <v>0</v>
      </c>
      <c r="P75" s="12">
        <f t="shared" si="42"/>
        <v>0</v>
      </c>
      <c r="Q75" s="12">
        <f t="shared" si="42"/>
        <v>0</v>
      </c>
      <c r="R75" s="12">
        <f t="shared" si="42"/>
        <v>0</v>
      </c>
      <c r="S75" s="12">
        <f t="shared" si="42"/>
        <v>0</v>
      </c>
      <c r="T75" s="12">
        <f t="shared" si="42"/>
        <v>0</v>
      </c>
      <c r="U75" s="12">
        <f t="shared" si="42"/>
        <v>0</v>
      </c>
      <c r="V75" s="12">
        <f t="shared" si="42"/>
        <v>0</v>
      </c>
      <c r="W75" s="12">
        <f t="shared" si="42"/>
        <v>0</v>
      </c>
      <c r="X75" s="12">
        <f t="shared" si="42"/>
        <v>0</v>
      </c>
      <c r="Y75" s="12">
        <f t="shared" si="42"/>
        <v>0</v>
      </c>
      <c r="Z75" s="12">
        <f t="shared" si="42"/>
        <v>0</v>
      </c>
      <c r="AA75" s="12">
        <f t="shared" si="42"/>
        <v>0</v>
      </c>
      <c r="AB75" s="12">
        <f t="shared" si="42"/>
        <v>0</v>
      </c>
      <c r="AC75" s="12">
        <f t="shared" si="42"/>
        <v>0</v>
      </c>
      <c r="AD75" s="12">
        <f t="shared" si="42"/>
        <v>0</v>
      </c>
      <c r="AE75" s="12">
        <f t="shared" si="42"/>
        <v>0</v>
      </c>
      <c r="AF75" s="12">
        <f t="shared" si="42"/>
        <v>0</v>
      </c>
      <c r="AH75">
        <f t="shared" ca="1" si="34"/>
        <v>12353.242129211727</v>
      </c>
      <c r="AI75">
        <f t="shared" ca="1" si="35"/>
        <v>1235.3242129211726</v>
      </c>
    </row>
    <row r="76" spans="1:35" x14ac:dyDescent="0.45">
      <c r="A76" s="135"/>
      <c r="B76" t="s">
        <v>87</v>
      </c>
      <c r="C76" s="12">
        <f t="shared" ref="C76:AF76" ca="1" si="43">C65* (1+$H$7)^-(C$45-1-$H$3)</f>
        <v>148232.66779820487</v>
      </c>
      <c r="D76" s="12">
        <f t="shared" ca="1" si="43"/>
        <v>140105.75024940103</v>
      </c>
      <c r="E76" s="12">
        <f t="shared" ca="1" si="43"/>
        <v>129941.39287724669</v>
      </c>
      <c r="F76" s="12">
        <f t="shared" ca="1" si="43"/>
        <v>118426.50517787502</v>
      </c>
      <c r="G76" s="12">
        <f t="shared" ca="1" si="43"/>
        <v>101173.9829103965</v>
      </c>
      <c r="H76" s="12">
        <f t="shared" ca="1" si="43"/>
        <v>86434.82979235606</v>
      </c>
      <c r="I76" s="12">
        <f t="shared" ca="1" si="43"/>
        <v>73842.895043977318</v>
      </c>
      <c r="J76" s="12">
        <f t="shared" ca="1" si="43"/>
        <v>63085.369191738377</v>
      </c>
      <c r="K76" s="12">
        <f t="shared" ca="1" si="43"/>
        <v>53895.013239767708</v>
      </c>
      <c r="L76" s="12">
        <f t="shared" ca="1" si="43"/>
        <v>46043.519905327426</v>
      </c>
      <c r="M76" s="12">
        <f t="shared" si="43"/>
        <v>0</v>
      </c>
      <c r="N76" s="12">
        <f t="shared" si="43"/>
        <v>0</v>
      </c>
      <c r="O76" s="12">
        <f t="shared" si="43"/>
        <v>0</v>
      </c>
      <c r="P76" s="12">
        <f t="shared" si="43"/>
        <v>0</v>
      </c>
      <c r="Q76" s="12">
        <f t="shared" si="43"/>
        <v>0</v>
      </c>
      <c r="R76" s="12">
        <f t="shared" si="43"/>
        <v>0</v>
      </c>
      <c r="S76" s="12">
        <f t="shared" si="43"/>
        <v>0</v>
      </c>
      <c r="T76" s="12">
        <f t="shared" si="43"/>
        <v>0</v>
      </c>
      <c r="U76" s="12">
        <f t="shared" si="43"/>
        <v>0</v>
      </c>
      <c r="V76" s="12">
        <f t="shared" si="43"/>
        <v>0</v>
      </c>
      <c r="W76" s="12">
        <f t="shared" si="43"/>
        <v>0</v>
      </c>
      <c r="X76" s="12">
        <f t="shared" si="43"/>
        <v>0</v>
      </c>
      <c r="Y76" s="12">
        <f t="shared" si="43"/>
        <v>0</v>
      </c>
      <c r="Z76" s="12">
        <f t="shared" si="43"/>
        <v>0</v>
      </c>
      <c r="AA76" s="12">
        <f t="shared" si="43"/>
        <v>0</v>
      </c>
      <c r="AB76" s="12">
        <f t="shared" si="43"/>
        <v>0</v>
      </c>
      <c r="AC76" s="12">
        <f t="shared" si="43"/>
        <v>0</v>
      </c>
      <c r="AD76" s="12">
        <f t="shared" si="43"/>
        <v>0</v>
      </c>
      <c r="AE76" s="12">
        <f t="shared" si="43"/>
        <v>0</v>
      </c>
      <c r="AF76" s="12">
        <f t="shared" si="43"/>
        <v>0</v>
      </c>
      <c r="AH76">
        <f t="shared" ca="1" si="34"/>
        <v>961181.92618629115</v>
      </c>
      <c r="AI76">
        <f t="shared" ca="1" si="35"/>
        <v>96118.192618629109</v>
      </c>
    </row>
    <row r="77" spans="1:35" x14ac:dyDescent="0.45">
      <c r="A77" s="3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5" x14ac:dyDescent="0.45">
      <c r="A78" s="32"/>
      <c r="B78" t="s">
        <v>0</v>
      </c>
      <c r="C78">
        <v>1</v>
      </c>
      <c r="D78">
        <v>2</v>
      </c>
      <c r="E78">
        <v>3</v>
      </c>
      <c r="F78">
        <v>4</v>
      </c>
      <c r="G78">
        <v>5</v>
      </c>
      <c r="H78">
        <v>6</v>
      </c>
      <c r="I78">
        <v>7</v>
      </c>
      <c r="J78">
        <v>8</v>
      </c>
      <c r="K78">
        <v>9</v>
      </c>
      <c r="L78">
        <v>10</v>
      </c>
      <c r="M78">
        <v>11</v>
      </c>
      <c r="N78">
        <v>12</v>
      </c>
      <c r="O78">
        <v>13</v>
      </c>
      <c r="P78">
        <v>14</v>
      </c>
      <c r="Q78">
        <v>15</v>
      </c>
      <c r="R78">
        <v>16</v>
      </c>
      <c r="S78">
        <v>17</v>
      </c>
      <c r="T78">
        <v>18</v>
      </c>
      <c r="U78">
        <v>19</v>
      </c>
      <c r="V78">
        <v>20</v>
      </c>
      <c r="W78">
        <v>21</v>
      </c>
      <c r="X78">
        <v>22</v>
      </c>
      <c r="Y78">
        <v>23</v>
      </c>
      <c r="Z78">
        <v>24</v>
      </c>
      <c r="AA78">
        <v>25</v>
      </c>
      <c r="AB78">
        <v>26</v>
      </c>
      <c r="AC78">
        <v>27</v>
      </c>
      <c r="AD78">
        <v>28</v>
      </c>
      <c r="AE78">
        <v>29</v>
      </c>
      <c r="AF78">
        <v>30</v>
      </c>
    </row>
    <row r="79" spans="1:35" x14ac:dyDescent="0.45">
      <c r="A79" s="22"/>
      <c r="B79" t="s">
        <v>14</v>
      </c>
      <c r="C79" s="24">
        <f ca="1">VMT!C$4</f>
        <v>74039.267379713696</v>
      </c>
      <c r="D79" s="24">
        <f ca="1">VMT!D$4</f>
        <v>73479.035499691905</v>
      </c>
      <c r="E79" s="24">
        <f ca="1">VMT!E$4</f>
        <v>71555.711405605296</v>
      </c>
      <c r="F79" s="24">
        <f ca="1">VMT!F$4</f>
        <v>68475.466297734398</v>
      </c>
      <c r="G79" s="24">
        <f ca="1">VMT!G$4</f>
        <v>61424.867928947846</v>
      </c>
      <c r="H79" s="24">
        <f ca="1">VMT!H$4</f>
        <v>55100.23668452946</v>
      </c>
      <c r="I79" s="24">
        <f ca="1">VMT!I$4</f>
        <v>49426.823126474577</v>
      </c>
      <c r="J79" s="24">
        <f ca="1">VMT!J$4</f>
        <v>44337.57441665815</v>
      </c>
      <c r="K79" s="24">
        <f ca="1">VMT!K$4</f>
        <v>39772.341833957427</v>
      </c>
      <c r="L79" s="24">
        <f ca="1">VMT!L$4</f>
        <v>35677.169889628523</v>
      </c>
      <c r="M79" s="24">
        <f ca="1">VMT!M$4</f>
        <v>32003.658639146401</v>
      </c>
      <c r="N79" s="24">
        <f ca="1">VMT!N$4</f>
        <v>28944.590398150714</v>
      </c>
      <c r="O79" s="24">
        <f ca="1">VMT!O$4</f>
        <v>26177.923054458126</v>
      </c>
      <c r="P79" s="24">
        <f ca="1">VMT!P$4</f>
        <v>23675.707481730798</v>
      </c>
      <c r="Q79" s="24">
        <f ca="1">VMT!Q$4</f>
        <v>21412.6660695881</v>
      </c>
      <c r="R79" s="24">
        <f ca="1">VMT!R$4</f>
        <v>19365.937366876566</v>
      </c>
      <c r="S79" s="24">
        <f ca="1">VMT!S$4</f>
        <v>17514.845133201128</v>
      </c>
      <c r="T79" s="24">
        <f ca="1">VMT!T$4</f>
        <v>15756.981682277861</v>
      </c>
      <c r="U79" s="24">
        <f ca="1">VMT!U$4</f>
        <v>14175.544793427604</v>
      </c>
      <c r="V79" s="24">
        <f ca="1">VMT!V$4</f>
        <v>12752.827555576829</v>
      </c>
      <c r="W79" s="24">
        <f ca="1">VMT!W$4</f>
        <v>11472.900197647721</v>
      </c>
      <c r="X79" s="24">
        <f ca="1">VMT!X$4</f>
        <v>10321.431727321073</v>
      </c>
      <c r="Y79" s="24">
        <f ca="1">VMT!Y$4</f>
        <v>9285.5294708823676</v>
      </c>
      <c r="Z79" s="24">
        <f ca="1">VMT!Z$4</f>
        <v>8353.594717523134</v>
      </c>
      <c r="AA79" s="24">
        <f ca="1">VMT!AA$4</f>
        <v>7515.1928517867536</v>
      </c>
      <c r="AB79" s="24">
        <f ca="1">VMT!AB$4</f>
        <v>6760.936520067693</v>
      </c>
      <c r="AC79" s="24">
        <f ca="1">VMT!AC$4</f>
        <v>6082.3805230117723</v>
      </c>
      <c r="AD79" s="24">
        <f ca="1">VMT!AD$4</f>
        <v>5471.9272569567847</v>
      </c>
      <c r="AE79" s="24">
        <f ca="1">VMT!AE$4</f>
        <v>4922.7416456674473</v>
      </c>
      <c r="AF79" s="24">
        <f ca="1">VMT!AF$4</f>
        <v>4428.6746098788708</v>
      </c>
    </row>
    <row r="80" spans="1:35" x14ac:dyDescent="0.45">
      <c r="A80" s="32"/>
      <c r="B80" t="s">
        <v>326</v>
      </c>
      <c r="C80" s="24">
        <f ca="1">IF(AND( C78&gt;$H$3, C78&lt;=$H$4),  C79* (1+$H$7)^-(C78-1-$H$3),  0)</f>
        <v>74039.267379713696</v>
      </c>
      <c r="D80" s="24">
        <f t="shared" ref="D80:AF80" ca="1" si="44">IF(AND( D78&gt;$H$3, D78&lt;=$H$4),  D79* (1+$H$7)^-(D78-1-$H$3),  0)</f>
        <v>69980.033809230386</v>
      </c>
      <c r="E80" s="24">
        <f t="shared" ca="1" si="44"/>
        <v>64903.139596920897</v>
      </c>
      <c r="F80" s="24">
        <f t="shared" ca="1" si="44"/>
        <v>59151.682364957902</v>
      </c>
      <c r="G80" s="24">
        <f t="shared" ca="1" si="44"/>
        <v>50534.390858909894</v>
      </c>
      <c r="H80" s="24">
        <f t="shared" ca="1" si="44"/>
        <v>43172.477220934117</v>
      </c>
      <c r="I80" s="24">
        <f t="shared" ca="1" si="44"/>
        <v>36883.056423810667</v>
      </c>
      <c r="J80" s="24">
        <f t="shared" ca="1" si="44"/>
        <v>31509.88636117386</v>
      </c>
      <c r="K80" s="24">
        <f t="shared" ca="1" si="44"/>
        <v>26919.486473282614</v>
      </c>
      <c r="L80" s="24">
        <f t="shared" ca="1" si="44"/>
        <v>22997.821816271673</v>
      </c>
      <c r="M80" s="24">
        <f t="shared" si="44"/>
        <v>0</v>
      </c>
      <c r="N80" s="24">
        <f t="shared" si="44"/>
        <v>0</v>
      </c>
      <c r="O80" s="24">
        <f t="shared" si="44"/>
        <v>0</v>
      </c>
      <c r="P80" s="24">
        <f t="shared" si="44"/>
        <v>0</v>
      </c>
      <c r="Q80" s="24">
        <f t="shared" si="44"/>
        <v>0</v>
      </c>
      <c r="R80" s="24">
        <f t="shared" si="44"/>
        <v>0</v>
      </c>
      <c r="S80" s="24">
        <f t="shared" si="44"/>
        <v>0</v>
      </c>
      <c r="T80" s="24">
        <f t="shared" si="44"/>
        <v>0</v>
      </c>
      <c r="U80" s="24">
        <f t="shared" si="44"/>
        <v>0</v>
      </c>
      <c r="V80" s="24">
        <f t="shared" si="44"/>
        <v>0</v>
      </c>
      <c r="W80" s="24">
        <f t="shared" si="44"/>
        <v>0</v>
      </c>
      <c r="X80" s="24">
        <f t="shared" si="44"/>
        <v>0</v>
      </c>
      <c r="Y80" s="24">
        <f t="shared" si="44"/>
        <v>0</v>
      </c>
      <c r="Z80" s="24">
        <f t="shared" si="44"/>
        <v>0</v>
      </c>
      <c r="AA80" s="24">
        <f t="shared" si="44"/>
        <v>0</v>
      </c>
      <c r="AB80" s="24">
        <f t="shared" si="44"/>
        <v>0</v>
      </c>
      <c r="AC80" s="24">
        <f t="shared" si="44"/>
        <v>0</v>
      </c>
      <c r="AD80" s="24">
        <f t="shared" si="44"/>
        <v>0</v>
      </c>
      <c r="AE80" s="24">
        <f t="shared" si="44"/>
        <v>0</v>
      </c>
      <c r="AF80" s="24">
        <f t="shared" si="44"/>
        <v>0</v>
      </c>
    </row>
    <row r="82" spans="1:36" x14ac:dyDescent="0.45">
      <c r="A82" s="134" t="s">
        <v>379</v>
      </c>
      <c r="B82" t="s">
        <v>0</v>
      </c>
      <c r="C82">
        <v>1</v>
      </c>
      <c r="D82">
        <v>2</v>
      </c>
      <c r="E82">
        <v>3</v>
      </c>
      <c r="F82">
        <v>4</v>
      </c>
      <c r="G82">
        <v>5</v>
      </c>
      <c r="H82">
        <v>6</v>
      </c>
      <c r="I82">
        <v>7</v>
      </c>
      <c r="J82">
        <v>8</v>
      </c>
      <c r="K82">
        <v>9</v>
      </c>
      <c r="L82">
        <v>10</v>
      </c>
      <c r="M82">
        <v>11</v>
      </c>
      <c r="N82">
        <v>12</v>
      </c>
      <c r="O82">
        <v>13</v>
      </c>
      <c r="P82">
        <v>14</v>
      </c>
      <c r="Q82">
        <v>15</v>
      </c>
      <c r="R82">
        <v>16</v>
      </c>
      <c r="S82">
        <v>17</v>
      </c>
      <c r="T82">
        <v>18</v>
      </c>
      <c r="U82">
        <v>19</v>
      </c>
      <c r="V82">
        <v>20</v>
      </c>
      <c r="W82">
        <v>21</v>
      </c>
      <c r="X82">
        <v>22</v>
      </c>
      <c r="Y82">
        <v>23</v>
      </c>
      <c r="Z82">
        <v>24</v>
      </c>
      <c r="AA82">
        <v>25</v>
      </c>
      <c r="AB82">
        <v>26</v>
      </c>
      <c r="AC82">
        <v>27</v>
      </c>
      <c r="AD82">
        <v>28</v>
      </c>
      <c r="AE82">
        <v>29</v>
      </c>
      <c r="AF82">
        <v>30</v>
      </c>
      <c r="AH82" t="s">
        <v>114</v>
      </c>
    </row>
    <row r="83" spans="1:36" x14ac:dyDescent="0.45">
      <c r="A83" s="135"/>
      <c r="B83" t="s">
        <v>39</v>
      </c>
      <c r="C83" s="14">
        <f ca="1">C35/VMT!C$4</f>
        <v>2.0142724719872112</v>
      </c>
      <c r="D83" s="14">
        <f ca="1">D35/VMT!D$4</f>
        <v>1.2339899454645562</v>
      </c>
      <c r="E83" s="14">
        <f ca="1">E35/VMT!E$4</f>
        <v>1.2671579840089495</v>
      </c>
      <c r="F83" s="14">
        <f ca="1">F35/VMT!F$4</f>
        <v>1.3241587960103167</v>
      </c>
      <c r="G83" s="14">
        <f ca="1">G35/VMT!G$4</f>
        <v>1.4761511756758958</v>
      </c>
      <c r="H83" s="14">
        <f ca="1">H35/VMT!H$4</f>
        <v>0.41139746607708838</v>
      </c>
      <c r="I83" s="14">
        <f ca="1">I35/VMT!I$4</f>
        <v>0</v>
      </c>
      <c r="J83" s="14">
        <f ca="1">J35/VMT!J$4</f>
        <v>0</v>
      </c>
      <c r="K83" s="14">
        <f ca="1">K35/VMT!K$4</f>
        <v>0</v>
      </c>
      <c r="L83" s="14">
        <f ca="1">L35/VMT!L$4</f>
        <v>-5.6502516070948436</v>
      </c>
      <c r="M83" s="14">
        <f ca="1">M35/VMT!M$4</f>
        <v>0</v>
      </c>
      <c r="N83" s="14">
        <f ca="1">N35/VMT!N$4</f>
        <v>0</v>
      </c>
      <c r="O83" s="14">
        <f ca="1">O35/VMT!O$4</f>
        <v>0</v>
      </c>
      <c r="P83" s="14">
        <f ca="1">P35/VMT!P$4</f>
        <v>0</v>
      </c>
      <c r="Q83" s="14">
        <f ca="1">Q35/VMT!Q$4</f>
        <v>0</v>
      </c>
      <c r="R83" s="14">
        <f ca="1">R35/VMT!R$4</f>
        <v>0</v>
      </c>
      <c r="S83" s="14">
        <f ca="1">S35/VMT!S$4</f>
        <v>0</v>
      </c>
      <c r="T83" s="14">
        <f ca="1">T35/VMT!T$4</f>
        <v>0</v>
      </c>
      <c r="U83" s="14">
        <f ca="1">U35/VMT!U$4</f>
        <v>0</v>
      </c>
      <c r="V83" s="14">
        <f ca="1">V35/VMT!V$4</f>
        <v>0</v>
      </c>
      <c r="W83" s="14">
        <f ca="1">W35/VMT!W$4</f>
        <v>0</v>
      </c>
      <c r="X83" s="14">
        <f ca="1">X35/VMT!X$4</f>
        <v>0</v>
      </c>
      <c r="Y83" s="14">
        <f ca="1">Y35/VMT!Y$4</f>
        <v>0</v>
      </c>
      <c r="Z83" s="14">
        <f ca="1">Z35/VMT!Z$4</f>
        <v>0</v>
      </c>
      <c r="AA83" s="14">
        <f ca="1">AA35/VMT!AA$4</f>
        <v>0</v>
      </c>
      <c r="AB83" s="14">
        <f ca="1">AB35/VMT!AB$4</f>
        <v>0</v>
      </c>
      <c r="AC83" s="14">
        <f ca="1">AC35/VMT!AC$4</f>
        <v>0</v>
      </c>
      <c r="AD83" s="14">
        <f ca="1">AD35/VMT!AD$4</f>
        <v>0</v>
      </c>
      <c r="AE83" s="14">
        <f ca="1">AE35/VMT!AE$4</f>
        <v>0</v>
      </c>
      <c r="AF83" s="14">
        <f ca="1">AF35/VMT!AF$4</f>
        <v>0</v>
      </c>
      <c r="AH83" s="74">
        <f t="shared" ref="AH83:AH91" ca="1" si="45">AH35/  SUMIFS($C$79:$AF$79,C$34:AF$34,"&lt;="&amp;$H$4,C$34:AF$34,"&gt;"&amp;$H$3)</f>
        <v>0.5806987871332272</v>
      </c>
    </row>
    <row r="84" spans="1:36" x14ac:dyDescent="0.45">
      <c r="A84" s="135"/>
      <c r="B84" t="s">
        <v>4</v>
      </c>
      <c r="C84" s="14">
        <f ca="1">C36/VMT!C$4</f>
        <v>0.21321241406836772</v>
      </c>
      <c r="D84" s="14">
        <f ca="1">D36/VMT!D$4</f>
        <v>0.17331620425690916</v>
      </c>
      <c r="E84" s="14">
        <f ca="1">E36/VMT!E$4</f>
        <v>0.13359971073405993</v>
      </c>
      <c r="F84" s="14">
        <f ca="1">F36/VMT!F$4</f>
        <v>9.134908436266112E-2</v>
      </c>
      <c r="G84" s="14">
        <f ca="1">G36/VMT!G$4</f>
        <v>4.584272553433888E-2</v>
      </c>
      <c r="H84" s="14">
        <f ca="1">H36/VMT!H$4</f>
        <v>2.7274886614098433E-3</v>
      </c>
      <c r="I84" s="14">
        <f ca="1">I36/VMT!I$4</f>
        <v>0</v>
      </c>
      <c r="J84" s="14">
        <f ca="1">J36/VMT!J$4</f>
        <v>0</v>
      </c>
      <c r="K84" s="14">
        <f ca="1">K36/VMT!K$4</f>
        <v>0</v>
      </c>
      <c r="L84" s="14">
        <f ca="1">L36/VMT!L$4</f>
        <v>0</v>
      </c>
      <c r="M84" s="14">
        <f ca="1">M36/VMT!M$4</f>
        <v>0</v>
      </c>
      <c r="N84" s="14">
        <f ca="1">N36/VMT!N$4</f>
        <v>0</v>
      </c>
      <c r="O84" s="14">
        <f ca="1">O36/VMT!O$4</f>
        <v>0</v>
      </c>
      <c r="P84" s="14">
        <f ca="1">P36/VMT!P$4</f>
        <v>0</v>
      </c>
      <c r="Q84" s="14">
        <f ca="1">Q36/VMT!Q$4</f>
        <v>0</v>
      </c>
      <c r="R84" s="14">
        <f ca="1">R36/VMT!R$4</f>
        <v>0</v>
      </c>
      <c r="S84" s="14">
        <f ca="1">S36/VMT!S$4</f>
        <v>0</v>
      </c>
      <c r="T84" s="14">
        <f ca="1">T36/VMT!T$4</f>
        <v>0</v>
      </c>
      <c r="U84" s="14">
        <f ca="1">U36/VMT!U$4</f>
        <v>0</v>
      </c>
      <c r="V84" s="14">
        <f ca="1">V36/VMT!V$4</f>
        <v>0</v>
      </c>
      <c r="W84" s="14">
        <f ca="1">W36/VMT!W$4</f>
        <v>0</v>
      </c>
      <c r="X84" s="14">
        <f ca="1">X36/VMT!X$4</f>
        <v>0</v>
      </c>
      <c r="Y84" s="14">
        <f ca="1">Y36/VMT!Y$4</f>
        <v>0</v>
      </c>
      <c r="Z84" s="14">
        <f ca="1">Z36/VMT!Z$4</f>
        <v>0</v>
      </c>
      <c r="AA84" s="14">
        <f ca="1">AA36/VMT!AA$4</f>
        <v>0</v>
      </c>
      <c r="AB84" s="14">
        <f ca="1">AB36/VMT!AB$4</f>
        <v>0</v>
      </c>
      <c r="AC84" s="14">
        <f ca="1">AC36/VMT!AC$4</f>
        <v>0</v>
      </c>
      <c r="AD84" s="14">
        <f ca="1">AD36/VMT!AD$4</f>
        <v>0</v>
      </c>
      <c r="AE84" s="14">
        <f ca="1">AE36/VMT!AE$4</f>
        <v>0</v>
      </c>
      <c r="AF84" s="14">
        <f ca="1">AF36/VMT!AF$4</f>
        <v>0</v>
      </c>
      <c r="AH84" s="74">
        <f t="shared" ca="1" si="45"/>
        <v>8.2510570229516411E-2</v>
      </c>
    </row>
    <row r="85" spans="1:36" x14ac:dyDescent="0.45">
      <c r="A85" s="135"/>
      <c r="B85" t="s">
        <v>54</v>
      </c>
      <c r="C85" s="14">
        <f ca="1">C37/VMT!C$4</f>
        <v>0.15620697056069116</v>
      </c>
      <c r="D85" s="14">
        <f ca="1">D37/VMT!D$4</f>
        <v>0.15620697056069116</v>
      </c>
      <c r="E85" s="14">
        <f ca="1">E37/VMT!E$4</f>
        <v>0.15620697056069116</v>
      </c>
      <c r="F85" s="14">
        <f ca="1">F37/VMT!F$4</f>
        <v>0.15620697056069116</v>
      </c>
      <c r="G85" s="14">
        <f ca="1">G37/VMT!G$4</f>
        <v>0.15620697056069116</v>
      </c>
      <c r="H85" s="14">
        <f ca="1">H37/VMT!H$4</f>
        <v>0.15620697056069116</v>
      </c>
      <c r="I85" s="14">
        <f ca="1">I37/VMT!I$4</f>
        <v>0.15620697056069116</v>
      </c>
      <c r="J85" s="14">
        <f ca="1">J37/VMT!J$4</f>
        <v>0.15620697056069116</v>
      </c>
      <c r="K85" s="14">
        <f ca="1">K37/VMT!K$4</f>
        <v>0.15620697056069116</v>
      </c>
      <c r="L85" s="14">
        <f ca="1">L37/VMT!L$4</f>
        <v>0.15620697056069116</v>
      </c>
      <c r="M85" s="14">
        <f ca="1">M37/VMT!M$4</f>
        <v>0</v>
      </c>
      <c r="N85" s="14">
        <f ca="1">N37/VMT!N$4</f>
        <v>0</v>
      </c>
      <c r="O85" s="14">
        <f ca="1">O37/VMT!O$4</f>
        <v>0</v>
      </c>
      <c r="P85" s="14">
        <f ca="1">P37/VMT!P$4</f>
        <v>0</v>
      </c>
      <c r="Q85" s="14">
        <f ca="1">Q37/VMT!Q$4</f>
        <v>0</v>
      </c>
      <c r="R85" s="14">
        <f ca="1">R37/VMT!R$4</f>
        <v>0</v>
      </c>
      <c r="S85" s="14">
        <f ca="1">S37/VMT!S$4</f>
        <v>0</v>
      </c>
      <c r="T85" s="14">
        <f ca="1">T37/VMT!T$4</f>
        <v>0</v>
      </c>
      <c r="U85" s="14">
        <f ca="1">U37/VMT!U$4</f>
        <v>0</v>
      </c>
      <c r="V85" s="14">
        <f ca="1">V37/VMT!V$4</f>
        <v>0</v>
      </c>
      <c r="W85" s="14">
        <f ca="1">W37/VMT!W$4</f>
        <v>0</v>
      </c>
      <c r="X85" s="14">
        <f ca="1">X37/VMT!X$4</f>
        <v>0</v>
      </c>
      <c r="Y85" s="14">
        <f ca="1">Y37/VMT!Y$4</f>
        <v>0</v>
      </c>
      <c r="Z85" s="14">
        <f ca="1">Z37/VMT!Z$4</f>
        <v>0</v>
      </c>
      <c r="AA85" s="14">
        <f ca="1">AA37/VMT!AA$4</f>
        <v>0</v>
      </c>
      <c r="AB85" s="14">
        <f ca="1">AB37/VMT!AB$4</f>
        <v>0</v>
      </c>
      <c r="AC85" s="14">
        <f ca="1">AC37/VMT!AC$4</f>
        <v>0</v>
      </c>
      <c r="AD85" s="14">
        <f ca="1">AD37/VMT!AD$4</f>
        <v>0</v>
      </c>
      <c r="AE85" s="14">
        <f ca="1">AE37/VMT!AE$4</f>
        <v>0</v>
      </c>
      <c r="AF85" s="14">
        <f ca="1">AF37/VMT!AF$4</f>
        <v>0</v>
      </c>
      <c r="AH85" s="74">
        <f t="shared" ca="1" si="45"/>
        <v>0.15620697056069113</v>
      </c>
    </row>
    <row r="86" spans="1:36" x14ac:dyDescent="0.45">
      <c r="A86" s="135"/>
      <c r="B86" t="s">
        <v>25</v>
      </c>
      <c r="C86" s="14">
        <f ca="1">C38/VMT!C$4</f>
        <v>0.47272212757726156</v>
      </c>
      <c r="D86" s="14">
        <f ca="1">D38/VMT!D$4</f>
        <v>0.4763263393699112</v>
      </c>
      <c r="E86" s="14">
        <f ca="1">E38/VMT!E$4</f>
        <v>0.48912936944483071</v>
      </c>
      <c r="F86" s="14">
        <f ca="1">F38/VMT!F$4</f>
        <v>0.51113197021278289</v>
      </c>
      <c r="G86" s="14">
        <f ca="1">G38/VMT!G$4</f>
        <v>0.56980179494216654</v>
      </c>
      <c r="H86" s="14">
        <f ca="1">H38/VMT!H$4</f>
        <v>0.63520598287787355</v>
      </c>
      <c r="I86" s="14">
        <f ca="1">I38/VMT!I$4</f>
        <v>0.70811753186000104</v>
      </c>
      <c r="J86" s="14">
        <f ca="1">J38/VMT!J$4</f>
        <v>0.78939816759236359</v>
      </c>
      <c r="K86" s="14">
        <f ca="1">K38/VMT!K$4</f>
        <v>0.88000852819074316</v>
      </c>
      <c r="L86" s="14">
        <f ca="1">L38/VMT!L$4</f>
        <v>0.9810195177553761</v>
      </c>
      <c r="M86" s="14">
        <f ca="1">M38/VMT!M$4</f>
        <v>0</v>
      </c>
      <c r="N86" s="14">
        <f ca="1">N38/VMT!N$4</f>
        <v>0</v>
      </c>
      <c r="O86" s="14">
        <f ca="1">O38/VMT!O$4</f>
        <v>0</v>
      </c>
      <c r="P86" s="14">
        <f ca="1">P38/VMT!P$4</f>
        <v>0</v>
      </c>
      <c r="Q86" s="14">
        <f ca="1">Q38/VMT!Q$4</f>
        <v>0</v>
      </c>
      <c r="R86" s="14">
        <f ca="1">R38/VMT!R$4</f>
        <v>0</v>
      </c>
      <c r="S86" s="14">
        <f ca="1">S38/VMT!S$4</f>
        <v>0</v>
      </c>
      <c r="T86" s="14">
        <f ca="1">T38/VMT!T$4</f>
        <v>0</v>
      </c>
      <c r="U86" s="14">
        <f ca="1">U38/VMT!U$4</f>
        <v>0</v>
      </c>
      <c r="V86" s="14">
        <f ca="1">V38/VMT!V$4</f>
        <v>0</v>
      </c>
      <c r="W86" s="14">
        <f ca="1">W38/VMT!W$4</f>
        <v>0</v>
      </c>
      <c r="X86" s="14">
        <f ca="1">X38/VMT!X$4</f>
        <v>0</v>
      </c>
      <c r="Y86" s="14">
        <f ca="1">Y38/VMT!Y$4</f>
        <v>0</v>
      </c>
      <c r="Z86" s="14">
        <f ca="1">Z38/VMT!Z$4</f>
        <v>0</v>
      </c>
      <c r="AA86" s="14">
        <f ca="1">AA38/VMT!AA$4</f>
        <v>0</v>
      </c>
      <c r="AB86" s="14">
        <f ca="1">AB38/VMT!AB$4</f>
        <v>0</v>
      </c>
      <c r="AC86" s="14">
        <f ca="1">AC38/VMT!AC$4</f>
        <v>0</v>
      </c>
      <c r="AD86" s="14">
        <f ca="1">AD38/VMT!AD$4</f>
        <v>0</v>
      </c>
      <c r="AE86" s="14">
        <f ca="1">AE38/VMT!AE$4</f>
        <v>0</v>
      </c>
      <c r="AF86" s="14">
        <f ca="1">AF38/VMT!AF$4</f>
        <v>0</v>
      </c>
      <c r="AH86" s="74">
        <f t="shared" ca="1" si="45"/>
        <v>0.61051286286127415</v>
      </c>
    </row>
    <row r="87" spans="1:36" x14ac:dyDescent="0.45">
      <c r="A87" s="135"/>
      <c r="B87" t="s">
        <v>41</v>
      </c>
      <c r="C87" s="14">
        <f ca="1">C39/VMT!C$4</f>
        <v>1.4095140793188059</v>
      </c>
      <c r="D87" s="14">
        <f ca="1">D39/VMT!D$4</f>
        <v>3.0212699240034367E-3</v>
      </c>
      <c r="E87" s="14">
        <f ca="1">E39/VMT!E$4</f>
        <v>3.1024777147643547E-3</v>
      </c>
      <c r="F87" s="14">
        <f ca="1">F39/VMT!F$4</f>
        <v>3.2420370682067945E-3</v>
      </c>
      <c r="G87" s="14">
        <f ca="1">G39/VMT!G$4</f>
        <v>3.6141713850617418E-3</v>
      </c>
      <c r="H87" s="14">
        <f ca="1">H39/VMT!H$4</f>
        <v>4.0290208056825124E-3</v>
      </c>
      <c r="I87" s="14">
        <f ca="1">I39/VMT!I$4</f>
        <v>4.4914883449405779E-3</v>
      </c>
      <c r="J87" s="14">
        <f ca="1">J39/VMT!J$4</f>
        <v>5.0070398058715626E-3</v>
      </c>
      <c r="K87" s="14">
        <f ca="1">K39/VMT!K$4</f>
        <v>5.5817683788098567E-3</v>
      </c>
      <c r="L87" s="14">
        <f ca="1">L39/VMT!L$4</f>
        <v>6.2224666554769568E-3</v>
      </c>
      <c r="M87" s="14">
        <f ca="1">M39/VMT!M$4</f>
        <v>0</v>
      </c>
      <c r="N87" s="14">
        <f ca="1">N39/VMT!N$4</f>
        <v>0</v>
      </c>
      <c r="O87" s="14">
        <f ca="1">O39/VMT!O$4</f>
        <v>0</v>
      </c>
      <c r="P87" s="14">
        <f ca="1">P39/VMT!P$4</f>
        <v>0</v>
      </c>
      <c r="Q87" s="14">
        <f ca="1">Q39/VMT!Q$4</f>
        <v>0</v>
      </c>
      <c r="R87" s="14">
        <f ca="1">R39/VMT!R$4</f>
        <v>0</v>
      </c>
      <c r="S87" s="14">
        <f ca="1">S39/VMT!S$4</f>
        <v>0</v>
      </c>
      <c r="T87" s="14">
        <f ca="1">T39/VMT!T$4</f>
        <v>0</v>
      </c>
      <c r="U87" s="14">
        <f ca="1">U39/VMT!U$4</f>
        <v>0</v>
      </c>
      <c r="V87" s="14">
        <f ca="1">V39/VMT!V$4</f>
        <v>0</v>
      </c>
      <c r="W87" s="14">
        <f ca="1">W39/VMT!W$4</f>
        <v>0</v>
      </c>
      <c r="X87" s="14">
        <f ca="1">X39/VMT!X$4</f>
        <v>0</v>
      </c>
      <c r="Y87" s="14">
        <f ca="1">Y39/VMT!Y$4</f>
        <v>0</v>
      </c>
      <c r="Z87" s="14">
        <f ca="1">Z39/VMT!Z$4</f>
        <v>0</v>
      </c>
      <c r="AA87" s="14">
        <f ca="1">AA39/VMT!AA$4</f>
        <v>0</v>
      </c>
      <c r="AB87" s="14">
        <f ca="1">AB39/VMT!AB$4</f>
        <v>0</v>
      </c>
      <c r="AC87" s="14">
        <f ca="1">AC39/VMT!AC$4</f>
        <v>0</v>
      </c>
      <c r="AD87" s="14">
        <f ca="1">AD39/VMT!AD$4</f>
        <v>0</v>
      </c>
      <c r="AE87" s="14">
        <f ca="1">AE39/VMT!AE$4</f>
        <v>0</v>
      </c>
      <c r="AF87" s="14">
        <f ca="1">AF39/VMT!AF$4</f>
        <v>0</v>
      </c>
      <c r="AH87" s="74">
        <f t="shared" ca="1" si="45"/>
        <v>0.18552158437052191</v>
      </c>
    </row>
    <row r="88" spans="1:36" x14ac:dyDescent="0.45">
      <c r="A88" s="135"/>
      <c r="B88" t="s">
        <v>23</v>
      </c>
      <c r="C88" s="14">
        <f ca="1">C40/VMT!C$4</f>
        <v>0.37386016641010023</v>
      </c>
      <c r="D88" s="14">
        <f ca="1">D40/VMT!D$4</f>
        <v>0.41183475477891629</v>
      </c>
      <c r="E88" s="14">
        <f ca="1">E40/VMT!E$4</f>
        <v>0.44854462159240305</v>
      </c>
      <c r="F88" s="14">
        <f ca="1">F40/VMT!F$4</f>
        <v>0.56175255202180152</v>
      </c>
      <c r="G88" s="14">
        <f ca="1">G40/VMT!G$4</f>
        <v>0.65697175792112017</v>
      </c>
      <c r="H88" s="14">
        <f ca="1">H40/VMT!H$4</f>
        <v>0.71379241807752192</v>
      </c>
      <c r="I88" s="14">
        <f ca="1">I40/VMT!I$4</f>
        <v>0.81285822727008372</v>
      </c>
      <c r="J88" s="14">
        <f ca="1">J40/VMT!J$4</f>
        <v>0.91496097231817575</v>
      </c>
      <c r="K88" s="14">
        <f ca="1">K40/VMT!K$4</f>
        <v>1.0219866709847949</v>
      </c>
      <c r="L88" s="14">
        <f ca="1">L40/VMT!L$4</f>
        <v>1.206695947545714</v>
      </c>
      <c r="M88" s="14">
        <f ca="1">M40/VMT!M$4</f>
        <v>0</v>
      </c>
      <c r="N88" s="14">
        <f ca="1">N40/VMT!N$4</f>
        <v>0</v>
      </c>
      <c r="O88" s="14">
        <f ca="1">O40/VMT!O$4</f>
        <v>0</v>
      </c>
      <c r="P88" s="14">
        <f ca="1">P40/VMT!P$4</f>
        <v>0</v>
      </c>
      <c r="Q88" s="14">
        <f ca="1">Q40/VMT!Q$4</f>
        <v>0</v>
      </c>
      <c r="R88" s="14">
        <f ca="1">R40/VMT!R$4</f>
        <v>0</v>
      </c>
      <c r="S88" s="14">
        <f ca="1">S40/VMT!S$4</f>
        <v>0</v>
      </c>
      <c r="T88" s="14">
        <f ca="1">T40/VMT!T$4</f>
        <v>0</v>
      </c>
      <c r="U88" s="14">
        <f ca="1">U40/VMT!U$4</f>
        <v>0</v>
      </c>
      <c r="V88" s="14">
        <f ca="1">V40/VMT!V$4</f>
        <v>0</v>
      </c>
      <c r="W88" s="14">
        <f ca="1">W40/VMT!W$4</f>
        <v>0</v>
      </c>
      <c r="X88" s="14">
        <f ca="1">X40/VMT!X$4</f>
        <v>0</v>
      </c>
      <c r="Y88" s="14">
        <f ca="1">Y40/VMT!Y$4</f>
        <v>0</v>
      </c>
      <c r="Z88" s="14">
        <f ca="1">Z40/VMT!Z$4</f>
        <v>0</v>
      </c>
      <c r="AA88" s="14">
        <f ca="1">AA40/VMT!AA$4</f>
        <v>0</v>
      </c>
      <c r="AB88" s="14">
        <f ca="1">AB40/VMT!AB$4</f>
        <v>0</v>
      </c>
      <c r="AC88" s="14">
        <f ca="1">AC40/VMT!AC$4</f>
        <v>0</v>
      </c>
      <c r="AD88" s="14">
        <f ca="1">AD40/VMT!AD$4</f>
        <v>0</v>
      </c>
      <c r="AE88" s="14">
        <f ca="1">AE40/VMT!AE$4</f>
        <v>0</v>
      </c>
      <c r="AF88" s="14">
        <f ca="1">AF40/VMT!AF$4</f>
        <v>0</v>
      </c>
      <c r="AH88" s="74">
        <f t="shared" ca="1" si="45"/>
        <v>0.64998816241616486</v>
      </c>
    </row>
    <row r="89" spans="1:36" x14ac:dyDescent="0.45">
      <c r="A89" s="135"/>
      <c r="B89" t="s">
        <v>40</v>
      </c>
      <c r="C89" s="14">
        <f ca="1">C41/VMT!C$4</f>
        <v>0</v>
      </c>
      <c r="D89" s="14">
        <f ca="1">D41/VMT!D$4</f>
        <v>0</v>
      </c>
      <c r="E89" s="14">
        <f ca="1">E41/VMT!E$4</f>
        <v>0</v>
      </c>
      <c r="F89" s="14">
        <f ca="1">F41/VMT!F$4</f>
        <v>0</v>
      </c>
      <c r="G89" s="14">
        <f ca="1">G41/VMT!G$4</f>
        <v>0</v>
      </c>
      <c r="H89" s="14">
        <f ca="1">H41/VMT!H$4</f>
        <v>0</v>
      </c>
      <c r="I89" s="14">
        <f ca="1">I41/VMT!I$4</f>
        <v>0</v>
      </c>
      <c r="J89" s="14">
        <f ca="1">J41/VMT!J$4</f>
        <v>0</v>
      </c>
      <c r="K89" s="14">
        <f ca="1">K41/VMT!K$4</f>
        <v>0</v>
      </c>
      <c r="L89" s="14">
        <f ca="1">L41/VMT!L$4</f>
        <v>0</v>
      </c>
      <c r="M89" s="14">
        <f ca="1">M41/VMT!M$4</f>
        <v>0</v>
      </c>
      <c r="N89" s="14">
        <f ca="1">N41/VMT!N$4</f>
        <v>0</v>
      </c>
      <c r="O89" s="14">
        <f ca="1">O41/VMT!O$4</f>
        <v>0</v>
      </c>
      <c r="P89" s="14">
        <f ca="1">P41/VMT!P$4</f>
        <v>0</v>
      </c>
      <c r="Q89" s="14">
        <f ca="1">Q41/VMT!Q$4</f>
        <v>0</v>
      </c>
      <c r="R89" s="14">
        <f ca="1">R41/VMT!R$4</f>
        <v>0</v>
      </c>
      <c r="S89" s="14">
        <f ca="1">S41/VMT!S$4</f>
        <v>0</v>
      </c>
      <c r="T89" s="14">
        <f ca="1">T41/VMT!T$4</f>
        <v>0</v>
      </c>
      <c r="U89" s="14">
        <f ca="1">U41/VMT!U$4</f>
        <v>0</v>
      </c>
      <c r="V89" s="14">
        <f ca="1">V41/VMT!V$4</f>
        <v>0</v>
      </c>
      <c r="W89" s="14">
        <f ca="1">W41/VMT!W$4</f>
        <v>0</v>
      </c>
      <c r="X89" s="14">
        <f ca="1">X41/VMT!X$4</f>
        <v>0</v>
      </c>
      <c r="Y89" s="14">
        <f ca="1">Y41/VMT!Y$4</f>
        <v>0</v>
      </c>
      <c r="Z89" s="14">
        <f ca="1">Z41/VMT!Z$4</f>
        <v>0</v>
      </c>
      <c r="AA89" s="14">
        <f ca="1">AA41/VMT!AA$4</f>
        <v>0</v>
      </c>
      <c r="AB89" s="14">
        <f ca="1">AB41/VMT!AB$4</f>
        <v>0</v>
      </c>
      <c r="AC89" s="14">
        <f ca="1">AC41/VMT!AC$4</f>
        <v>0</v>
      </c>
      <c r="AD89" s="14">
        <f ca="1">AD41/VMT!AD$4</f>
        <v>0</v>
      </c>
      <c r="AE89" s="14">
        <f ca="1">AE41/VMT!AE$4</f>
        <v>0</v>
      </c>
      <c r="AF89" s="14">
        <f ca="1">AF41/VMT!AF$4</f>
        <v>0</v>
      </c>
      <c r="AH89" s="74">
        <f t="shared" ca="1" si="45"/>
        <v>0</v>
      </c>
    </row>
    <row r="90" spans="1:36" x14ac:dyDescent="0.45">
      <c r="A90" s="135"/>
      <c r="B90" t="s">
        <v>85</v>
      </c>
      <c r="C90" s="14">
        <f ca="1">C42/VMT!C$4</f>
        <v>2.5731029939009945E-2</v>
      </c>
      <c r="D90" s="14">
        <f ca="1">D42/VMT!D$4</f>
        <v>2.5731029939009938E-2</v>
      </c>
      <c r="E90" s="14">
        <f ca="1">E42/VMT!E$4</f>
        <v>2.5731029939009942E-2</v>
      </c>
      <c r="F90" s="14">
        <f ca="1">F42/VMT!F$4</f>
        <v>2.5731029939009942E-2</v>
      </c>
      <c r="G90" s="14">
        <f ca="1">G42/VMT!G$4</f>
        <v>2.5731029939009942E-2</v>
      </c>
      <c r="H90" s="14">
        <f ca="1">H42/VMT!H$4</f>
        <v>2.5731029939009945E-2</v>
      </c>
      <c r="I90" s="14">
        <f ca="1">I42/VMT!I$4</f>
        <v>2.5731029939009945E-2</v>
      </c>
      <c r="J90" s="14">
        <f ca="1">J42/VMT!J$4</f>
        <v>2.5731029939009942E-2</v>
      </c>
      <c r="K90" s="14">
        <f ca="1">K42/VMT!K$4</f>
        <v>2.5731029939009942E-2</v>
      </c>
      <c r="L90" s="14">
        <f ca="1">L42/VMT!L$4</f>
        <v>2.5731029939009942E-2</v>
      </c>
      <c r="M90" s="14">
        <f ca="1">M42/VMT!M$4</f>
        <v>0</v>
      </c>
      <c r="N90" s="14">
        <f ca="1">N42/VMT!N$4</f>
        <v>0</v>
      </c>
      <c r="O90" s="14">
        <f ca="1">O42/VMT!O$4</f>
        <v>0</v>
      </c>
      <c r="P90" s="14">
        <f ca="1">P42/VMT!P$4</f>
        <v>0</v>
      </c>
      <c r="Q90" s="14">
        <f ca="1">Q42/VMT!Q$4</f>
        <v>0</v>
      </c>
      <c r="R90" s="14">
        <f ca="1">R42/VMT!R$4</f>
        <v>0</v>
      </c>
      <c r="S90" s="14">
        <f ca="1">S42/VMT!S$4</f>
        <v>0</v>
      </c>
      <c r="T90" s="14">
        <f ca="1">T42/VMT!T$4</f>
        <v>0</v>
      </c>
      <c r="U90" s="14">
        <f ca="1">U42/VMT!U$4</f>
        <v>0</v>
      </c>
      <c r="V90" s="14">
        <f ca="1">V42/VMT!V$4</f>
        <v>0</v>
      </c>
      <c r="W90" s="14">
        <f ca="1">W42/VMT!W$4</f>
        <v>0</v>
      </c>
      <c r="X90" s="14">
        <f ca="1">X42/VMT!X$4</f>
        <v>0</v>
      </c>
      <c r="Y90" s="14">
        <f ca="1">Y42/VMT!Y$4</f>
        <v>0</v>
      </c>
      <c r="Z90" s="14">
        <f ca="1">Z42/VMT!Z$4</f>
        <v>0</v>
      </c>
      <c r="AA90" s="14">
        <f ca="1">AA42/VMT!AA$4</f>
        <v>0</v>
      </c>
      <c r="AB90" s="14">
        <f ca="1">AB42/VMT!AB$4</f>
        <v>0</v>
      </c>
      <c r="AC90" s="14">
        <f ca="1">AC42/VMT!AC$4</f>
        <v>0</v>
      </c>
      <c r="AD90" s="14">
        <f ca="1">AD42/VMT!AD$4</f>
        <v>0</v>
      </c>
      <c r="AE90" s="14">
        <f ca="1">AE42/VMT!AE$4</f>
        <v>0</v>
      </c>
      <c r="AF90" s="14">
        <f ca="1">AF42/VMT!AF$4</f>
        <v>0</v>
      </c>
      <c r="AH90" s="74">
        <f t="shared" ca="1" si="45"/>
        <v>2.5731029939009942E-2</v>
      </c>
    </row>
    <row r="91" spans="1:36" x14ac:dyDescent="0.45">
      <c r="A91" s="135"/>
      <c r="B91" t="s">
        <v>87</v>
      </c>
      <c r="C91" s="14">
        <f ca="1">C43/VMT!C$4</f>
        <v>2.002081774229167</v>
      </c>
      <c r="D91" s="14">
        <f ca="1">D43/VMT!D$4</f>
        <v>2.0020817742291666</v>
      </c>
      <c r="E91" s="14">
        <f ca="1">E43/VMT!E$4</f>
        <v>2.002081774229167</v>
      </c>
      <c r="F91" s="14">
        <f ca="1">F43/VMT!F$4</f>
        <v>2.0020817742291666</v>
      </c>
      <c r="G91" s="14">
        <f ca="1">G43/VMT!G$4</f>
        <v>2.0020817742291666</v>
      </c>
      <c r="H91" s="14">
        <f ca="1">H43/VMT!H$4</f>
        <v>2.0020817742291666</v>
      </c>
      <c r="I91" s="14">
        <f ca="1">I43/VMT!I$4</f>
        <v>2.0020817742291666</v>
      </c>
      <c r="J91" s="14">
        <f ca="1">J43/VMT!J$4</f>
        <v>2.0020817742291666</v>
      </c>
      <c r="K91" s="14">
        <f ca="1">K43/VMT!K$4</f>
        <v>2.0020817742291666</v>
      </c>
      <c r="L91" s="14">
        <f ca="1">L43/VMT!L$4</f>
        <v>2.002081774229167</v>
      </c>
      <c r="M91" s="14">
        <f ca="1">M43/VMT!M$4</f>
        <v>0</v>
      </c>
      <c r="N91" s="14">
        <f ca="1">N43/VMT!N$4</f>
        <v>0</v>
      </c>
      <c r="O91" s="14">
        <f ca="1">O43/VMT!O$4</f>
        <v>0</v>
      </c>
      <c r="P91" s="14">
        <f ca="1">P43/VMT!P$4</f>
        <v>0</v>
      </c>
      <c r="Q91" s="14">
        <f ca="1">Q43/VMT!Q$4</f>
        <v>0</v>
      </c>
      <c r="R91" s="14">
        <f ca="1">R43/VMT!R$4</f>
        <v>0</v>
      </c>
      <c r="S91" s="14">
        <f ca="1">S43/VMT!S$4</f>
        <v>0</v>
      </c>
      <c r="T91" s="14">
        <f ca="1">T43/VMT!T$4</f>
        <v>0</v>
      </c>
      <c r="U91" s="14">
        <f ca="1">U43/VMT!U$4</f>
        <v>0</v>
      </c>
      <c r="V91" s="14">
        <f ca="1">V43/VMT!V$4</f>
        <v>0</v>
      </c>
      <c r="W91" s="14">
        <f ca="1">W43/VMT!W$4</f>
        <v>0</v>
      </c>
      <c r="X91" s="14">
        <f ca="1">X43/VMT!X$4</f>
        <v>0</v>
      </c>
      <c r="Y91" s="14">
        <f ca="1">Y43/VMT!Y$4</f>
        <v>0</v>
      </c>
      <c r="Z91" s="14">
        <f ca="1">Z43/VMT!Z$4</f>
        <v>0</v>
      </c>
      <c r="AA91" s="14">
        <f ca="1">AA43/VMT!AA$4</f>
        <v>0</v>
      </c>
      <c r="AB91" s="14">
        <f ca="1">AB43/VMT!AB$4</f>
        <v>0</v>
      </c>
      <c r="AC91" s="14">
        <f ca="1">AC43/VMT!AC$4</f>
        <v>0</v>
      </c>
      <c r="AD91" s="14">
        <f ca="1">AD43/VMT!AD$4</f>
        <v>0</v>
      </c>
      <c r="AE91" s="14">
        <f ca="1">AE43/VMT!AE$4</f>
        <v>0</v>
      </c>
      <c r="AF91" s="14">
        <f ca="1">AF43/VMT!AF$4</f>
        <v>0</v>
      </c>
      <c r="AH91" s="74">
        <f t="shared" ca="1" si="45"/>
        <v>2.0020817742291661</v>
      </c>
    </row>
    <row r="92" spans="1:36" x14ac:dyDescent="0.45">
      <c r="AH92" s="62"/>
    </row>
    <row r="93" spans="1:36" x14ac:dyDescent="0.45">
      <c r="A93" s="134" t="s">
        <v>380</v>
      </c>
      <c r="B93" t="s">
        <v>0</v>
      </c>
      <c r="C93">
        <v>1</v>
      </c>
      <c r="D93">
        <v>2</v>
      </c>
      <c r="E93">
        <v>3</v>
      </c>
      <c r="F93">
        <v>4</v>
      </c>
      <c r="G93">
        <v>5</v>
      </c>
      <c r="H93">
        <v>6</v>
      </c>
      <c r="I93">
        <v>7</v>
      </c>
      <c r="J93">
        <v>8</v>
      </c>
      <c r="K93">
        <v>9</v>
      </c>
      <c r="L93">
        <v>10</v>
      </c>
      <c r="M93">
        <v>11</v>
      </c>
      <c r="N93">
        <v>12</v>
      </c>
      <c r="O93">
        <v>13</v>
      </c>
      <c r="P93">
        <v>14</v>
      </c>
      <c r="Q93">
        <v>15</v>
      </c>
      <c r="R93">
        <v>16</v>
      </c>
      <c r="S93">
        <v>17</v>
      </c>
      <c r="T93">
        <v>18</v>
      </c>
      <c r="U93">
        <v>19</v>
      </c>
      <c r="V93">
        <v>20</v>
      </c>
      <c r="W93">
        <v>21</v>
      </c>
      <c r="X93">
        <v>22</v>
      </c>
      <c r="Y93">
        <v>23</v>
      </c>
      <c r="Z93">
        <v>24</v>
      </c>
      <c r="AA93">
        <v>25</v>
      </c>
      <c r="AB93">
        <v>26</v>
      </c>
      <c r="AC93">
        <v>27</v>
      </c>
      <c r="AD93">
        <v>28</v>
      </c>
      <c r="AE93">
        <v>29</v>
      </c>
      <c r="AF93">
        <v>30</v>
      </c>
      <c r="AH93" t="s">
        <v>114</v>
      </c>
      <c r="AJ93" t="s">
        <v>114</v>
      </c>
    </row>
    <row r="94" spans="1:36" x14ac:dyDescent="0.45">
      <c r="A94" s="135"/>
      <c r="B94" t="s">
        <v>39</v>
      </c>
      <c r="C94" s="14">
        <f ca="1">C46/VMT!C$4</f>
        <v>2.0142724719872112</v>
      </c>
      <c r="D94" s="14">
        <f ca="1">D46/VMT!D$4</f>
        <v>1.1752285194900534</v>
      </c>
      <c r="E94" s="14">
        <f ca="1">E46/VMT!E$4</f>
        <v>1.1493496453595911</v>
      </c>
      <c r="F94" s="14">
        <f ca="1">F46/VMT!F$4</f>
        <v>1.1438581544198827</v>
      </c>
      <c r="G94" s="14">
        <f ca="1">G46/VMT!G$4</f>
        <v>1.2144332253955059</v>
      </c>
      <c r="H94" s="14">
        <f ca="1">H46/VMT!H$4</f>
        <v>0.32234067949021894</v>
      </c>
      <c r="I94" s="14">
        <f ca="1">I46/VMT!I$4</f>
        <v>0</v>
      </c>
      <c r="J94" s="14">
        <f ca="1">J46/VMT!J$4</f>
        <v>0</v>
      </c>
      <c r="K94" s="14">
        <f ca="1">K46/VMT!K$4</f>
        <v>0</v>
      </c>
      <c r="L94" s="14">
        <f ca="1">L46/VMT!L$4</f>
        <v>-3.6422025648072744</v>
      </c>
      <c r="M94" s="14">
        <f ca="1">M46/VMT!M$4</f>
        <v>0</v>
      </c>
      <c r="N94" s="14">
        <f ca="1">N46/VMT!N$4</f>
        <v>0</v>
      </c>
      <c r="O94" s="14">
        <f ca="1">O46/VMT!O$4</f>
        <v>0</v>
      </c>
      <c r="P94" s="14">
        <f ca="1">P46/VMT!P$4</f>
        <v>0</v>
      </c>
      <c r="Q94" s="14">
        <f ca="1">Q46/VMT!Q$4</f>
        <v>0</v>
      </c>
      <c r="R94" s="14">
        <f ca="1">R46/VMT!R$4</f>
        <v>0</v>
      </c>
      <c r="S94" s="14">
        <f ca="1">S46/VMT!S$4</f>
        <v>0</v>
      </c>
      <c r="T94" s="14">
        <f ca="1">T46/VMT!T$4</f>
        <v>0</v>
      </c>
      <c r="U94" s="14">
        <f ca="1">U46/VMT!U$4</f>
        <v>0</v>
      </c>
      <c r="V94" s="14">
        <f ca="1">V46/VMT!V$4</f>
        <v>0</v>
      </c>
      <c r="W94" s="14">
        <f ca="1">W46/VMT!W$4</f>
        <v>0</v>
      </c>
      <c r="X94" s="14">
        <f ca="1">X46/VMT!X$4</f>
        <v>0</v>
      </c>
      <c r="Y94" s="14">
        <f ca="1">Y46/VMT!Y$4</f>
        <v>0</v>
      </c>
      <c r="Z94" s="14">
        <f ca="1">Z46/VMT!Z$4</f>
        <v>0</v>
      </c>
      <c r="AA94" s="14">
        <f ca="1">AA46/VMT!AA$4</f>
        <v>0</v>
      </c>
      <c r="AB94" s="14">
        <f ca="1">AB46/VMT!AB$4</f>
        <v>0</v>
      </c>
      <c r="AC94" s="14">
        <f ca="1">AC46/VMT!AC$4</f>
        <v>0</v>
      </c>
      <c r="AD94" s="14">
        <f ca="1">AD46/VMT!AD$4</f>
        <v>0</v>
      </c>
      <c r="AE94" s="14">
        <f ca="1">AE46/VMT!AE$4</f>
        <v>0</v>
      </c>
      <c r="AF94" s="14">
        <f ca="1">AF46/VMT!AF$4</f>
        <v>0</v>
      </c>
      <c r="AH94" s="74">
        <f t="shared" ref="AH94:AH102" ca="1" si="46">AH46/  SUMIFS($C$79:$AF$79,C$34:AF$34,"&lt;="&amp;$H$4,C$34:AF$34,"&gt;"&amp;$H$3)</f>
        <v>0.62529187356695137</v>
      </c>
      <c r="AJ94" s="74">
        <f ca="1">AH46/  SUM($C$80:$AF$80)</f>
        <v>0.74667605906716283</v>
      </c>
    </row>
    <row r="95" spans="1:36" x14ac:dyDescent="0.45">
      <c r="A95" s="135"/>
      <c r="B95" t="s">
        <v>4</v>
      </c>
      <c r="C95" s="14">
        <f ca="1">C47/VMT!C$4</f>
        <v>0.21321241406836772</v>
      </c>
      <c r="D95" s="14">
        <f ca="1">D47/VMT!D$4</f>
        <v>0.16506305167324681</v>
      </c>
      <c r="E95" s="14">
        <f ca="1">E47/VMT!E$4</f>
        <v>0.12117887594926069</v>
      </c>
      <c r="F95" s="14">
        <f ca="1">F47/VMT!F$4</f>
        <v>7.8910773663890391E-2</v>
      </c>
      <c r="G95" s="14">
        <f ca="1">G47/VMT!G$4</f>
        <v>3.7714923748305595E-2</v>
      </c>
      <c r="H95" s="14">
        <f ca="1">H47/VMT!H$4</f>
        <v>2.1370587349606434E-3</v>
      </c>
      <c r="I95" s="14">
        <f ca="1">I47/VMT!I$4</f>
        <v>0</v>
      </c>
      <c r="J95" s="14">
        <f ca="1">J47/VMT!J$4</f>
        <v>0</v>
      </c>
      <c r="K95" s="14">
        <f ca="1">K47/VMT!K$4</f>
        <v>0</v>
      </c>
      <c r="L95" s="14">
        <f ca="1">L47/VMT!L$4</f>
        <v>0</v>
      </c>
      <c r="M95" s="14">
        <f ca="1">M47/VMT!M$4</f>
        <v>0</v>
      </c>
      <c r="N95" s="14">
        <f ca="1">N47/VMT!N$4</f>
        <v>0</v>
      </c>
      <c r="O95" s="14">
        <f ca="1">O47/VMT!O$4</f>
        <v>0</v>
      </c>
      <c r="P95" s="14">
        <f ca="1">P47/VMT!P$4</f>
        <v>0</v>
      </c>
      <c r="Q95" s="14">
        <f ca="1">Q47/VMT!Q$4</f>
        <v>0</v>
      </c>
      <c r="R95" s="14">
        <f ca="1">R47/VMT!R$4</f>
        <v>0</v>
      </c>
      <c r="S95" s="14">
        <f ca="1">S47/VMT!S$4</f>
        <v>0</v>
      </c>
      <c r="T95" s="14">
        <f ca="1">T47/VMT!T$4</f>
        <v>0</v>
      </c>
      <c r="U95" s="14">
        <f ca="1">U47/VMT!U$4</f>
        <v>0</v>
      </c>
      <c r="V95" s="14">
        <f ca="1">V47/VMT!V$4</f>
        <v>0</v>
      </c>
      <c r="W95" s="14">
        <f ca="1">W47/VMT!W$4</f>
        <v>0</v>
      </c>
      <c r="X95" s="14">
        <f ca="1">X47/VMT!X$4</f>
        <v>0</v>
      </c>
      <c r="Y95" s="14">
        <f ca="1">Y47/VMT!Y$4</f>
        <v>0</v>
      </c>
      <c r="Z95" s="14">
        <f ca="1">Z47/VMT!Z$4</f>
        <v>0</v>
      </c>
      <c r="AA95" s="14">
        <f ca="1">AA47/VMT!AA$4</f>
        <v>0</v>
      </c>
      <c r="AB95" s="14">
        <f ca="1">AB47/VMT!AB$4</f>
        <v>0</v>
      </c>
      <c r="AC95" s="14">
        <f ca="1">AC47/VMT!AC$4</f>
        <v>0</v>
      </c>
      <c r="AD95" s="14">
        <f ca="1">AD47/VMT!AD$4</f>
        <v>0</v>
      </c>
      <c r="AE95" s="14">
        <f ca="1">AE47/VMT!AE$4</f>
        <v>0</v>
      </c>
      <c r="AF95" s="14">
        <f ca="1">AF47/VMT!AF$4</f>
        <v>0</v>
      </c>
      <c r="AH95" s="74">
        <f t="shared" ca="1" si="46"/>
        <v>7.748916042665431E-2</v>
      </c>
      <c r="AJ95" s="74">
        <f t="shared" ref="AJ95:AJ102" ca="1" si="47">AH47/  SUM($C$80:$AF$80)</f>
        <v>9.2531669407026562E-2</v>
      </c>
    </row>
    <row r="96" spans="1:36" x14ac:dyDescent="0.45">
      <c r="A96" s="135"/>
      <c r="B96" t="s">
        <v>54</v>
      </c>
      <c r="C96" s="14">
        <f ca="1">C48/VMT!C$4</f>
        <v>0.15620697056069116</v>
      </c>
      <c r="D96" s="14">
        <f ca="1">D48/VMT!D$4</f>
        <v>0.14876854339113443</v>
      </c>
      <c r="E96" s="14">
        <f ca="1">E48/VMT!E$4</f>
        <v>0.14168432703917563</v>
      </c>
      <c r="F96" s="14">
        <f ca="1">F48/VMT!F$4</f>
        <v>0.13493745432302442</v>
      </c>
      <c r="G96" s="14">
        <f ca="1">G48/VMT!G$4</f>
        <v>0.12851186126002326</v>
      </c>
      <c r="H96" s="14">
        <f ca="1">H48/VMT!H$4</f>
        <v>0.12239224881906977</v>
      </c>
      <c r="I96" s="14">
        <f ca="1">I48/VMT!I$4</f>
        <v>0.11656404649435216</v>
      </c>
      <c r="J96" s="14">
        <f ca="1">J48/VMT!J$4</f>
        <v>0.11101337761366872</v>
      </c>
      <c r="K96" s="14">
        <f ca="1">K48/VMT!K$4</f>
        <v>0.10572702629873212</v>
      </c>
      <c r="L96" s="14">
        <f ca="1">L48/VMT!L$4</f>
        <v>0.10069240599879249</v>
      </c>
      <c r="M96" s="14">
        <f ca="1">M48/VMT!M$4</f>
        <v>0</v>
      </c>
      <c r="N96" s="14">
        <f ca="1">N48/VMT!N$4</f>
        <v>0</v>
      </c>
      <c r="O96" s="14">
        <f ca="1">O48/VMT!O$4</f>
        <v>0</v>
      </c>
      <c r="P96" s="14">
        <f ca="1">P48/VMT!P$4</f>
        <v>0</v>
      </c>
      <c r="Q96" s="14">
        <f ca="1">Q48/VMT!Q$4</f>
        <v>0</v>
      </c>
      <c r="R96" s="14">
        <f ca="1">R48/VMT!R$4</f>
        <v>0</v>
      </c>
      <c r="S96" s="14">
        <f ca="1">S48/VMT!S$4</f>
        <v>0</v>
      </c>
      <c r="T96" s="14">
        <f ca="1">T48/VMT!T$4</f>
        <v>0</v>
      </c>
      <c r="U96" s="14">
        <f ca="1">U48/VMT!U$4</f>
        <v>0</v>
      </c>
      <c r="V96" s="14">
        <f ca="1">V48/VMT!V$4</f>
        <v>0</v>
      </c>
      <c r="W96" s="14">
        <f ca="1">W48/VMT!W$4</f>
        <v>0</v>
      </c>
      <c r="X96" s="14">
        <f ca="1">X48/VMT!X$4</f>
        <v>0</v>
      </c>
      <c r="Y96" s="14">
        <f ca="1">Y48/VMT!Y$4</f>
        <v>0</v>
      </c>
      <c r="Z96" s="14">
        <f ca="1">Z48/VMT!Z$4</f>
        <v>0</v>
      </c>
      <c r="AA96" s="14">
        <f ca="1">AA48/VMT!AA$4</f>
        <v>0</v>
      </c>
      <c r="AB96" s="14">
        <f ca="1">AB48/VMT!AB$4</f>
        <v>0</v>
      </c>
      <c r="AC96" s="14">
        <f ca="1">AC48/VMT!AC$4</f>
        <v>0</v>
      </c>
      <c r="AD96" s="14">
        <f ca="1">AD48/VMT!AD$4</f>
        <v>0</v>
      </c>
      <c r="AE96" s="14">
        <f ca="1">AE48/VMT!AE$4</f>
        <v>0</v>
      </c>
      <c r="AF96" s="14">
        <f ca="1">AF48/VMT!AF$4</f>
        <v>0</v>
      </c>
      <c r="AH96" s="74">
        <f t="shared" ca="1" si="46"/>
        <v>0.13081301871140671</v>
      </c>
      <c r="AJ96" s="74">
        <f t="shared" ca="1" si="47"/>
        <v>0.15620697056069116</v>
      </c>
    </row>
    <row r="97" spans="1:36" x14ac:dyDescent="0.45">
      <c r="A97" s="135"/>
      <c r="B97" t="s">
        <v>25</v>
      </c>
      <c r="C97" s="14">
        <f ca="1">C49/VMT!C$4</f>
        <v>0.47272212757726156</v>
      </c>
      <c r="D97" s="14">
        <f ca="1">D49/VMT!D$4</f>
        <v>0.45364413273324872</v>
      </c>
      <c r="E97" s="14">
        <f ca="1">E49/VMT!E$4</f>
        <v>0.44365475686605954</v>
      </c>
      <c r="F97" s="14">
        <f ca="1">F49/VMT!F$4</f>
        <v>0.44153501368127235</v>
      </c>
      <c r="G97" s="14">
        <f ca="1">G49/VMT!G$4</f>
        <v>0.46877734683977684</v>
      </c>
      <c r="H97" s="14">
        <f ca="1">H49/VMT!H$4</f>
        <v>0.49770050868212984</v>
      </c>
      <c r="I97" s="14">
        <f ca="1">I49/VMT!I$4</f>
        <v>0.52840820490226048</v>
      </c>
      <c r="J97" s="14">
        <f ca="1">J49/VMT!J$4</f>
        <v>0.56101053974682147</v>
      </c>
      <c r="K97" s="14">
        <f ca="1">K49/VMT!K$4</f>
        <v>0.59562441080042661</v>
      </c>
      <c r="L97" s="14">
        <f ca="1">L49/VMT!L$4</f>
        <v>0.63237392812879911</v>
      </c>
      <c r="M97" s="14">
        <f ca="1">M49/VMT!M$4</f>
        <v>0</v>
      </c>
      <c r="N97" s="14">
        <f ca="1">N49/VMT!N$4</f>
        <v>0</v>
      </c>
      <c r="O97" s="14">
        <f ca="1">O49/VMT!O$4</f>
        <v>0</v>
      </c>
      <c r="P97" s="14">
        <f ca="1">P49/VMT!P$4</f>
        <v>0</v>
      </c>
      <c r="Q97" s="14">
        <f ca="1">Q49/VMT!Q$4</f>
        <v>0</v>
      </c>
      <c r="R97" s="14">
        <f ca="1">R49/VMT!R$4</f>
        <v>0</v>
      </c>
      <c r="S97" s="14">
        <f ca="1">S49/VMT!S$4</f>
        <v>0</v>
      </c>
      <c r="T97" s="14">
        <f ca="1">T49/VMT!T$4</f>
        <v>0</v>
      </c>
      <c r="U97" s="14">
        <f ca="1">U49/VMT!U$4</f>
        <v>0</v>
      </c>
      <c r="V97" s="14">
        <f ca="1">V49/VMT!V$4</f>
        <v>0</v>
      </c>
      <c r="W97" s="14">
        <f ca="1">W49/VMT!W$4</f>
        <v>0</v>
      </c>
      <c r="X97" s="14">
        <f ca="1">X49/VMT!X$4</f>
        <v>0</v>
      </c>
      <c r="Y97" s="14">
        <f ca="1">Y49/VMT!Y$4</f>
        <v>0</v>
      </c>
      <c r="Z97" s="14">
        <f ca="1">Z49/VMT!Z$4</f>
        <v>0</v>
      </c>
      <c r="AA97" s="14">
        <f ca="1">AA49/VMT!AA$4</f>
        <v>0</v>
      </c>
      <c r="AB97" s="14">
        <f ca="1">AB49/VMT!AB$4</f>
        <v>0</v>
      </c>
      <c r="AC97" s="14">
        <f ca="1">AC49/VMT!AC$4</f>
        <v>0</v>
      </c>
      <c r="AD97" s="14">
        <f ca="1">AD49/VMT!AD$4</f>
        <v>0</v>
      </c>
      <c r="AE97" s="14">
        <f ca="1">AE49/VMT!AE$4</f>
        <v>0</v>
      </c>
      <c r="AF97" s="14">
        <f ca="1">AF49/VMT!AF$4</f>
        <v>0</v>
      </c>
      <c r="AH97" s="74">
        <f t="shared" ca="1" si="46"/>
        <v>0.49499294227661428</v>
      </c>
      <c r="AJ97" s="74">
        <f t="shared" ca="1" si="47"/>
        <v>0.59108297265531018</v>
      </c>
    </row>
    <row r="98" spans="1:36" x14ac:dyDescent="0.45">
      <c r="A98" s="135"/>
      <c r="B98" t="s">
        <v>41</v>
      </c>
      <c r="C98" s="14">
        <f ca="1">C50/VMT!C$4</f>
        <v>1.4095140793188059</v>
      </c>
      <c r="D98" s="14">
        <f ca="1">D50/VMT!D$4</f>
        <v>2.8773999276223206E-3</v>
      </c>
      <c r="E98" s="14">
        <f ca="1">E50/VMT!E$4</f>
        <v>2.8140387435504348E-3</v>
      </c>
      <c r="F98" s="14">
        <f ca="1">F50/VMT!F$4</f>
        <v>2.8005935153497846E-3</v>
      </c>
      <c r="G98" s="14">
        <f ca="1">G50/VMT!G$4</f>
        <v>2.9733877428122987E-3</v>
      </c>
      <c r="H98" s="14">
        <f ca="1">H50/VMT!H$4</f>
        <v>3.1568432264980806E-3</v>
      </c>
      <c r="I98" s="14">
        <f ca="1">I50/VMT!I$4</f>
        <v>3.3516177568086235E-3</v>
      </c>
      <c r="J98" s="14">
        <f ca="1">J50/VMT!J$4</f>
        <v>3.5584097092512678E-3</v>
      </c>
      <c r="K98" s="14">
        <f ca="1">K50/VMT!K$4</f>
        <v>3.7779605485055634E-3</v>
      </c>
      <c r="L98" s="14">
        <f ca="1">L50/VMT!L$4</f>
        <v>4.0110574869883829E-3</v>
      </c>
      <c r="M98" s="14">
        <f ca="1">M50/VMT!M$4</f>
        <v>0</v>
      </c>
      <c r="N98" s="14">
        <f ca="1">N50/VMT!N$4</f>
        <v>0</v>
      </c>
      <c r="O98" s="14">
        <f ca="1">O50/VMT!O$4</f>
        <v>0</v>
      </c>
      <c r="P98" s="14">
        <f ca="1">P50/VMT!P$4</f>
        <v>0</v>
      </c>
      <c r="Q98" s="14">
        <f ca="1">Q50/VMT!Q$4</f>
        <v>0</v>
      </c>
      <c r="R98" s="14">
        <f ca="1">R50/VMT!R$4</f>
        <v>0</v>
      </c>
      <c r="S98" s="14">
        <f ca="1">S50/VMT!S$4</f>
        <v>0</v>
      </c>
      <c r="T98" s="14">
        <f ca="1">T50/VMT!T$4</f>
        <v>0</v>
      </c>
      <c r="U98" s="14">
        <f ca="1">U50/VMT!U$4</f>
        <v>0</v>
      </c>
      <c r="V98" s="14">
        <f ca="1">V50/VMT!V$4</f>
        <v>0</v>
      </c>
      <c r="W98" s="14">
        <f ca="1">W50/VMT!W$4</f>
        <v>0</v>
      </c>
      <c r="X98" s="14">
        <f ca="1">X50/VMT!X$4</f>
        <v>0</v>
      </c>
      <c r="Y98" s="14">
        <f ca="1">Y50/VMT!Y$4</f>
        <v>0</v>
      </c>
      <c r="Z98" s="14">
        <f ca="1">Z50/VMT!Z$4</f>
        <v>0</v>
      </c>
      <c r="AA98" s="14">
        <f ca="1">AA50/VMT!AA$4</f>
        <v>0</v>
      </c>
      <c r="AB98" s="14">
        <f ca="1">AB50/VMT!AB$4</f>
        <v>0</v>
      </c>
      <c r="AC98" s="14">
        <f ca="1">AC50/VMT!AC$4</f>
        <v>0</v>
      </c>
      <c r="AD98" s="14">
        <f ca="1">AD50/VMT!AD$4</f>
        <v>0</v>
      </c>
      <c r="AE98" s="14">
        <f ca="1">AE50/VMT!AE$4</f>
        <v>0</v>
      </c>
      <c r="AF98" s="14">
        <f ca="1">AF50/VMT!AF$4</f>
        <v>0</v>
      </c>
      <c r="AH98" s="74">
        <f t="shared" ca="1" si="46"/>
        <v>0.18478885801709921</v>
      </c>
      <c r="AJ98" s="74">
        <f t="shared" ca="1" si="47"/>
        <v>0.2206608179259435</v>
      </c>
    </row>
    <row r="99" spans="1:36" x14ac:dyDescent="0.45">
      <c r="A99" s="135"/>
      <c r="B99" t="s">
        <v>23</v>
      </c>
      <c r="C99" s="14">
        <f ca="1">C51/VMT!C$4</f>
        <v>0.37386016641010023</v>
      </c>
      <c r="D99" s="14">
        <f ca="1">D51/VMT!D$4</f>
        <v>0.3922235759799203</v>
      </c>
      <c r="E99" s="14">
        <f ca="1">E51/VMT!E$4</f>
        <v>0.40684319418812065</v>
      </c>
      <c r="F99" s="14">
        <f ca="1">F51/VMT!F$4</f>
        <v>0.48526297550744113</v>
      </c>
      <c r="G99" s="14">
        <f ca="1">G51/VMT!G$4</f>
        <v>0.54049229111007879</v>
      </c>
      <c r="H99" s="14">
        <f ca="1">H51/VMT!H$4</f>
        <v>0.55927503699053227</v>
      </c>
      <c r="I99" s="14">
        <f ca="1">I51/VMT!I$4</f>
        <v>0.60656732447169148</v>
      </c>
      <c r="J99" s="14">
        <f ca="1">J51/VMT!J$4</f>
        <v>0.6502456808242304</v>
      </c>
      <c r="K99" s="14">
        <f ca="1">K51/VMT!K$4</f>
        <v>0.6917208063911704</v>
      </c>
      <c r="L99" s="14">
        <f ca="1">L51/VMT!L$4</f>
        <v>0.77784696695185074</v>
      </c>
      <c r="M99" s="14">
        <f ca="1">M51/VMT!M$4</f>
        <v>0</v>
      </c>
      <c r="N99" s="14">
        <f ca="1">N51/VMT!N$4</f>
        <v>0</v>
      </c>
      <c r="O99" s="14">
        <f ca="1">O51/VMT!O$4</f>
        <v>0</v>
      </c>
      <c r="P99" s="14">
        <f ca="1">P51/VMT!P$4</f>
        <v>0</v>
      </c>
      <c r="Q99" s="14">
        <f ca="1">Q51/VMT!Q$4</f>
        <v>0</v>
      </c>
      <c r="R99" s="14">
        <f ca="1">R51/VMT!R$4</f>
        <v>0</v>
      </c>
      <c r="S99" s="14">
        <f ca="1">S51/VMT!S$4</f>
        <v>0</v>
      </c>
      <c r="T99" s="14">
        <f ca="1">T51/VMT!T$4</f>
        <v>0</v>
      </c>
      <c r="U99" s="14">
        <f ca="1">U51/VMT!U$4</f>
        <v>0</v>
      </c>
      <c r="V99" s="14">
        <f ca="1">V51/VMT!V$4</f>
        <v>0</v>
      </c>
      <c r="W99" s="14">
        <f ca="1">W51/VMT!W$4</f>
        <v>0</v>
      </c>
      <c r="X99" s="14">
        <f ca="1">X51/VMT!X$4</f>
        <v>0</v>
      </c>
      <c r="Y99" s="14">
        <f ca="1">Y51/VMT!Y$4</f>
        <v>0</v>
      </c>
      <c r="Z99" s="14">
        <f ca="1">Z51/VMT!Z$4</f>
        <v>0</v>
      </c>
      <c r="AA99" s="14">
        <f ca="1">AA51/VMT!AA$4</f>
        <v>0</v>
      </c>
      <c r="AB99" s="14">
        <f ca="1">AB51/VMT!AB$4</f>
        <v>0</v>
      </c>
      <c r="AC99" s="14">
        <f ca="1">AC51/VMT!AC$4</f>
        <v>0</v>
      </c>
      <c r="AD99" s="14">
        <f ca="1">AD51/VMT!AD$4</f>
        <v>0</v>
      </c>
      <c r="AE99" s="14">
        <f ca="1">AE51/VMT!AE$4</f>
        <v>0</v>
      </c>
      <c r="AF99" s="14">
        <f ca="1">AF51/VMT!AF$4</f>
        <v>0</v>
      </c>
      <c r="AH99" s="74">
        <f t="shared" ca="1" si="46"/>
        <v>0.51794290284082556</v>
      </c>
      <c r="AJ99" s="74">
        <f t="shared" ca="1" si="47"/>
        <v>0.61848807231233827</v>
      </c>
    </row>
    <row r="100" spans="1:36" x14ac:dyDescent="0.45">
      <c r="A100" s="135"/>
      <c r="B100" t="s">
        <v>40</v>
      </c>
      <c r="C100" s="14">
        <f ca="1">C52/VMT!C$4</f>
        <v>0</v>
      </c>
      <c r="D100" s="14">
        <f ca="1">D52/VMT!D$4</f>
        <v>0</v>
      </c>
      <c r="E100" s="14">
        <f ca="1">E52/VMT!E$4</f>
        <v>0</v>
      </c>
      <c r="F100" s="14">
        <f ca="1">F52/VMT!F$4</f>
        <v>0</v>
      </c>
      <c r="G100" s="14">
        <f ca="1">G52/VMT!G$4</f>
        <v>0</v>
      </c>
      <c r="H100" s="14">
        <f ca="1">H52/VMT!H$4</f>
        <v>0</v>
      </c>
      <c r="I100" s="14">
        <f ca="1">I52/VMT!I$4</f>
        <v>0</v>
      </c>
      <c r="J100" s="14">
        <f ca="1">J52/VMT!J$4</f>
        <v>0</v>
      </c>
      <c r="K100" s="14">
        <f ca="1">K52/VMT!K$4</f>
        <v>0</v>
      </c>
      <c r="L100" s="14">
        <f ca="1">L52/VMT!L$4</f>
        <v>0</v>
      </c>
      <c r="M100" s="14">
        <f ca="1">M52/VMT!M$4</f>
        <v>0</v>
      </c>
      <c r="N100" s="14">
        <f ca="1">N52/VMT!N$4</f>
        <v>0</v>
      </c>
      <c r="O100" s="14">
        <f ca="1">O52/VMT!O$4</f>
        <v>0</v>
      </c>
      <c r="P100" s="14">
        <f ca="1">P52/VMT!P$4</f>
        <v>0</v>
      </c>
      <c r="Q100" s="14">
        <f ca="1">Q52/VMT!Q$4</f>
        <v>0</v>
      </c>
      <c r="R100" s="14">
        <f ca="1">R52/VMT!R$4</f>
        <v>0</v>
      </c>
      <c r="S100" s="14">
        <f ca="1">S52/VMT!S$4</f>
        <v>0</v>
      </c>
      <c r="T100" s="14">
        <f ca="1">T52/VMT!T$4</f>
        <v>0</v>
      </c>
      <c r="U100" s="14">
        <f ca="1">U52/VMT!U$4</f>
        <v>0</v>
      </c>
      <c r="V100" s="14">
        <f ca="1">V52/VMT!V$4</f>
        <v>0</v>
      </c>
      <c r="W100" s="14">
        <f ca="1">W52/VMT!W$4</f>
        <v>0</v>
      </c>
      <c r="X100" s="14">
        <f ca="1">X52/VMT!X$4</f>
        <v>0</v>
      </c>
      <c r="Y100" s="14">
        <f ca="1">Y52/VMT!Y$4</f>
        <v>0</v>
      </c>
      <c r="Z100" s="14">
        <f ca="1">Z52/VMT!Z$4</f>
        <v>0</v>
      </c>
      <c r="AA100" s="14">
        <f ca="1">AA52/VMT!AA$4</f>
        <v>0</v>
      </c>
      <c r="AB100" s="14">
        <f ca="1">AB52/VMT!AB$4</f>
        <v>0</v>
      </c>
      <c r="AC100" s="14">
        <f ca="1">AC52/VMT!AC$4</f>
        <v>0</v>
      </c>
      <c r="AD100" s="14">
        <f ca="1">AD52/VMT!AD$4</f>
        <v>0</v>
      </c>
      <c r="AE100" s="14">
        <f ca="1">AE52/VMT!AE$4</f>
        <v>0</v>
      </c>
      <c r="AF100" s="14">
        <f ca="1">AF52/VMT!AF$4</f>
        <v>0</v>
      </c>
      <c r="AH100" s="74">
        <f t="shared" ca="1" si="46"/>
        <v>0</v>
      </c>
      <c r="AJ100" s="74">
        <f t="shared" ca="1" si="47"/>
        <v>0</v>
      </c>
    </row>
    <row r="101" spans="1:36" x14ac:dyDescent="0.45">
      <c r="A101" s="135"/>
      <c r="B101" t="s">
        <v>85</v>
      </c>
      <c r="C101" s="14">
        <f ca="1">C53/VMT!C$4</f>
        <v>2.5731029939009945E-2</v>
      </c>
      <c r="D101" s="14">
        <f ca="1">D53/VMT!D$4</f>
        <v>2.4505742799057085E-2</v>
      </c>
      <c r="E101" s="14">
        <f ca="1">E53/VMT!E$4</f>
        <v>2.3338802665768654E-2</v>
      </c>
      <c r="F101" s="14">
        <f ca="1">F53/VMT!F$4</f>
        <v>2.2227431110255862E-2</v>
      </c>
      <c r="G101" s="14">
        <f ca="1">G53/VMT!G$4</f>
        <v>2.1168982009767485E-2</v>
      </c>
      <c r="H101" s="14">
        <f ca="1">H53/VMT!H$4</f>
        <v>2.0160935247397607E-2</v>
      </c>
      <c r="I101" s="14">
        <f ca="1">I53/VMT!I$4</f>
        <v>1.9200890711807247E-2</v>
      </c>
      <c r="J101" s="14">
        <f ca="1">J53/VMT!J$4</f>
        <v>1.8286562582673565E-2</v>
      </c>
      <c r="K101" s="14">
        <f ca="1">K53/VMT!K$4</f>
        <v>1.741577388826054E-2</v>
      </c>
      <c r="L101" s="14">
        <f ca="1">L53/VMT!L$4</f>
        <v>1.658645132215289E-2</v>
      </c>
      <c r="M101" s="14">
        <f ca="1">M53/VMT!M$4</f>
        <v>0</v>
      </c>
      <c r="N101" s="14">
        <f ca="1">N53/VMT!N$4</f>
        <v>0</v>
      </c>
      <c r="O101" s="14">
        <f ca="1">O53/VMT!O$4</f>
        <v>0</v>
      </c>
      <c r="P101" s="14">
        <f ca="1">P53/VMT!P$4</f>
        <v>0</v>
      </c>
      <c r="Q101" s="14">
        <f ca="1">Q53/VMT!Q$4</f>
        <v>0</v>
      </c>
      <c r="R101" s="14">
        <f ca="1">R53/VMT!R$4</f>
        <v>0</v>
      </c>
      <c r="S101" s="14">
        <f ca="1">S53/VMT!S$4</f>
        <v>0</v>
      </c>
      <c r="T101" s="14">
        <f ca="1">T53/VMT!T$4</f>
        <v>0</v>
      </c>
      <c r="U101" s="14">
        <f ca="1">U53/VMT!U$4</f>
        <v>0</v>
      </c>
      <c r="V101" s="14">
        <f ca="1">V53/VMT!V$4</f>
        <v>0</v>
      </c>
      <c r="W101" s="14">
        <f ca="1">W53/VMT!W$4</f>
        <v>0</v>
      </c>
      <c r="X101" s="14">
        <f ca="1">X53/VMT!X$4</f>
        <v>0</v>
      </c>
      <c r="Y101" s="14">
        <f ca="1">Y53/VMT!Y$4</f>
        <v>0</v>
      </c>
      <c r="Z101" s="14">
        <f ca="1">Z53/VMT!Z$4</f>
        <v>0</v>
      </c>
      <c r="AA101" s="14">
        <f ca="1">AA53/VMT!AA$4</f>
        <v>0</v>
      </c>
      <c r="AB101" s="14">
        <f ca="1">AB53/VMT!AB$4</f>
        <v>0</v>
      </c>
      <c r="AC101" s="14">
        <f ca="1">AC53/VMT!AC$4</f>
        <v>0</v>
      </c>
      <c r="AD101" s="14">
        <f ca="1">AD53/VMT!AD$4</f>
        <v>0</v>
      </c>
      <c r="AE101" s="14">
        <f ca="1">AE53/VMT!AE$4</f>
        <v>0</v>
      </c>
      <c r="AF101" s="14">
        <f ca="1">AF53/VMT!AF$4</f>
        <v>0</v>
      </c>
      <c r="AH101" s="74">
        <f t="shared" ca="1" si="46"/>
        <v>2.1548037765495867E-2</v>
      </c>
      <c r="AJ101" s="74">
        <f t="shared" ca="1" si="47"/>
        <v>2.5731029939009945E-2</v>
      </c>
    </row>
    <row r="102" spans="1:36" x14ac:dyDescent="0.45">
      <c r="A102" s="135"/>
      <c r="B102" t="s">
        <v>87</v>
      </c>
      <c r="C102" s="14">
        <f ca="1">C54/VMT!C$4</f>
        <v>2.002081774229167</v>
      </c>
      <c r="D102" s="14">
        <f ca="1">D54/VMT!D$4</f>
        <v>1.9067445468849205</v>
      </c>
      <c r="E102" s="14">
        <f ca="1">E54/VMT!E$4</f>
        <v>1.8159471875094484</v>
      </c>
      <c r="F102" s="14">
        <f ca="1">F54/VMT!F$4</f>
        <v>1.7294735119137599</v>
      </c>
      <c r="G102" s="14">
        <f ca="1">G54/VMT!G$4</f>
        <v>1.6471176303940573</v>
      </c>
      <c r="H102" s="14">
        <f ca="1">H54/VMT!H$4</f>
        <v>1.5686834575181496</v>
      </c>
      <c r="I102" s="14">
        <f ca="1">I54/VMT!I$4</f>
        <v>1.4939842452553806</v>
      </c>
      <c r="J102" s="14">
        <f ca="1">J54/VMT!J$4</f>
        <v>1.4228421383384577</v>
      </c>
      <c r="K102" s="14">
        <f ca="1">K54/VMT!K$4</f>
        <v>1.3550877507985315</v>
      </c>
      <c r="L102" s="14">
        <f ca="1">L54/VMT!L$4</f>
        <v>1.2905597626652678</v>
      </c>
      <c r="M102" s="14">
        <f ca="1">M54/VMT!M$4</f>
        <v>0</v>
      </c>
      <c r="N102" s="14">
        <f ca="1">N54/VMT!N$4</f>
        <v>0</v>
      </c>
      <c r="O102" s="14">
        <f ca="1">O54/VMT!O$4</f>
        <v>0</v>
      </c>
      <c r="P102" s="14">
        <f ca="1">P54/VMT!P$4</f>
        <v>0</v>
      </c>
      <c r="Q102" s="14">
        <f ca="1">Q54/VMT!Q$4</f>
        <v>0</v>
      </c>
      <c r="R102" s="14">
        <f ca="1">R54/VMT!R$4</f>
        <v>0</v>
      </c>
      <c r="S102" s="14">
        <f ca="1">S54/VMT!S$4</f>
        <v>0</v>
      </c>
      <c r="T102" s="14">
        <f ca="1">T54/VMT!T$4</f>
        <v>0</v>
      </c>
      <c r="U102" s="14">
        <f ca="1">U54/VMT!U$4</f>
        <v>0</v>
      </c>
      <c r="V102" s="14">
        <f ca="1">V54/VMT!V$4</f>
        <v>0</v>
      </c>
      <c r="W102" s="14">
        <f ca="1">W54/VMT!W$4</f>
        <v>0</v>
      </c>
      <c r="X102" s="14">
        <f ca="1">X54/VMT!X$4</f>
        <v>0</v>
      </c>
      <c r="Y102" s="14">
        <f ca="1">Y54/VMT!Y$4</f>
        <v>0</v>
      </c>
      <c r="Z102" s="14">
        <f ca="1">Z54/VMT!Z$4</f>
        <v>0</v>
      </c>
      <c r="AA102" s="14">
        <f ca="1">AA54/VMT!AA$4</f>
        <v>0</v>
      </c>
      <c r="AB102" s="14">
        <f ca="1">AB54/VMT!AB$4</f>
        <v>0</v>
      </c>
      <c r="AC102" s="14">
        <f ca="1">AC54/VMT!AC$4</f>
        <v>0</v>
      </c>
      <c r="AD102" s="14">
        <f ca="1">AD54/VMT!AD$4</f>
        <v>0</v>
      </c>
      <c r="AE102" s="14">
        <f ca="1">AE54/VMT!AE$4</f>
        <v>0</v>
      </c>
      <c r="AF102" s="14">
        <f ca="1">AF54/VMT!AF$4</f>
        <v>0</v>
      </c>
      <c r="AH102" s="74">
        <f t="shared" ca="1" si="46"/>
        <v>1.6766112271043043</v>
      </c>
      <c r="AJ102" s="74">
        <f t="shared" ca="1" si="47"/>
        <v>2.002081774229167</v>
      </c>
    </row>
    <row r="103" spans="1:36" x14ac:dyDescent="0.45">
      <c r="AH103" s="62"/>
    </row>
    <row r="104" spans="1:36" x14ac:dyDescent="0.45">
      <c r="A104" s="135" t="s">
        <v>309</v>
      </c>
      <c r="B104" t="s">
        <v>0</v>
      </c>
      <c r="C104">
        <v>1</v>
      </c>
      <c r="D104">
        <v>2</v>
      </c>
      <c r="E104">
        <v>3</v>
      </c>
      <c r="F104">
        <v>4</v>
      </c>
      <c r="G104">
        <v>5</v>
      </c>
      <c r="H104">
        <v>6</v>
      </c>
      <c r="I104">
        <v>7</v>
      </c>
      <c r="J104">
        <v>8</v>
      </c>
      <c r="K104">
        <v>9</v>
      </c>
      <c r="L104">
        <v>10</v>
      </c>
      <c r="M104">
        <v>11</v>
      </c>
      <c r="N104">
        <v>12</v>
      </c>
      <c r="O104">
        <v>13</v>
      </c>
      <c r="P104">
        <v>14</v>
      </c>
      <c r="Q104">
        <v>15</v>
      </c>
      <c r="R104">
        <v>16</v>
      </c>
      <c r="S104">
        <v>17</v>
      </c>
      <c r="T104">
        <v>18</v>
      </c>
      <c r="U104">
        <v>19</v>
      </c>
      <c r="V104">
        <v>20</v>
      </c>
      <c r="W104">
        <v>21</v>
      </c>
      <c r="X104">
        <v>22</v>
      </c>
      <c r="Y104">
        <v>23</v>
      </c>
      <c r="Z104">
        <v>24</v>
      </c>
      <c r="AA104">
        <v>25</v>
      </c>
      <c r="AB104">
        <v>26</v>
      </c>
      <c r="AC104">
        <v>27</v>
      </c>
      <c r="AD104">
        <v>28</v>
      </c>
      <c r="AE104">
        <v>29</v>
      </c>
      <c r="AF104">
        <v>30</v>
      </c>
      <c r="AH104" t="s">
        <v>114</v>
      </c>
    </row>
    <row r="105" spans="1:36" x14ac:dyDescent="0.45">
      <c r="A105" s="135"/>
      <c r="B105" t="s">
        <v>39</v>
      </c>
      <c r="C105" s="11">
        <f ca="1">C57/VMT!C$4</f>
        <v>0.72288747331229386</v>
      </c>
      <c r="D105" s="11">
        <f ca="1">D57/VMT!D$4</f>
        <v>0.66503188618621978</v>
      </c>
      <c r="E105" s="11">
        <f ca="1">E57/VMT!E$4</f>
        <v>0.62243772513593554</v>
      </c>
      <c r="F105" s="11">
        <f ca="1">F57/VMT!F$4</f>
        <v>0.59208443485272177</v>
      </c>
      <c r="G105" s="11">
        <f ca="1">G57/VMT!G$4</f>
        <v>0.5979191646187465</v>
      </c>
      <c r="H105" s="11">
        <f ca="1">H57/VMT!H$4</f>
        <v>0.60485947176223931</v>
      </c>
      <c r="I105" s="11">
        <f ca="1">I57/VMT!I$4</f>
        <v>0.61284188475902901</v>
      </c>
      <c r="J105" s="11">
        <f ca="1">J57/VMT!J$4</f>
        <v>0.62181232471699865</v>
      </c>
      <c r="K105" s="11">
        <f ca="1">K57/VMT!K$4</f>
        <v>0.63172477345699929</v>
      </c>
      <c r="L105" s="11">
        <f ca="1">L57/VMT!L$4</f>
        <v>0.64254017105824712</v>
      </c>
      <c r="M105" s="11">
        <f ca="1">M57/VMT!M$4</f>
        <v>0</v>
      </c>
      <c r="N105" s="11">
        <f ca="1">N57/VMT!N$4</f>
        <v>0</v>
      </c>
      <c r="O105" s="11">
        <f ca="1">O57/VMT!O$4</f>
        <v>0</v>
      </c>
      <c r="P105" s="11">
        <f ca="1">P57/VMT!P$4</f>
        <v>0</v>
      </c>
      <c r="Q105" s="11">
        <f ca="1">Q57/VMT!Q$4</f>
        <v>0</v>
      </c>
      <c r="R105" s="11">
        <f ca="1">R57/VMT!R$4</f>
        <v>0</v>
      </c>
      <c r="S105" s="11">
        <f ca="1">S57/VMT!S$4</f>
        <v>0</v>
      </c>
      <c r="T105" s="11">
        <f ca="1">T57/VMT!T$4</f>
        <v>0</v>
      </c>
      <c r="U105" s="11">
        <f ca="1">U57/VMT!U$4</f>
        <v>0</v>
      </c>
      <c r="V105" s="11">
        <f ca="1">V57/VMT!V$4</f>
        <v>0</v>
      </c>
      <c r="W105" s="11">
        <f ca="1">W57/VMT!W$4</f>
        <v>0</v>
      </c>
      <c r="X105" s="11">
        <f ca="1">X57/VMT!X$4</f>
        <v>0</v>
      </c>
      <c r="Y105" s="11">
        <f ca="1">Y57/VMT!Y$4</f>
        <v>0</v>
      </c>
      <c r="Z105" s="11">
        <f ca="1">Z57/VMT!Z$4</f>
        <v>0</v>
      </c>
      <c r="AA105" s="11">
        <f ca="1">AA57/VMT!AA$4</f>
        <v>0</v>
      </c>
      <c r="AB105" s="11">
        <f ca="1">AB57/VMT!AB$4</f>
        <v>0</v>
      </c>
      <c r="AC105" s="11">
        <f ca="1">AC57/VMT!AC$4</f>
        <v>0</v>
      </c>
      <c r="AD105" s="11">
        <f ca="1">AD57/VMT!AD$4</f>
        <v>0</v>
      </c>
      <c r="AE105" s="11">
        <f ca="1">AE57/VMT!AE$4</f>
        <v>0</v>
      </c>
      <c r="AF105" s="11">
        <f ca="1">AF57/VMT!AF$4</f>
        <v>0</v>
      </c>
      <c r="AH105" s="74">
        <f t="shared" ref="AH105:AH113" ca="1" si="48">AH57/  SUMIFS($C$79:$AF$79,C$34:AF$34,"&lt;="&amp;$H$4,C$34:AF$34,"&gt;"&amp;$H$3)</f>
        <v>0.6339475986576345</v>
      </c>
    </row>
    <row r="106" spans="1:36" x14ac:dyDescent="0.45">
      <c r="A106" s="135"/>
      <c r="B106" t="s">
        <v>4</v>
      </c>
      <c r="C106" s="11">
        <f ca="1">C58/VMT!C$4</f>
        <v>0.21321241406836772</v>
      </c>
      <c r="D106" s="11">
        <f ca="1">D58/VMT!D$4</f>
        <v>0.17331620425690916</v>
      </c>
      <c r="E106" s="11">
        <f ca="1">E58/VMT!E$4</f>
        <v>0.13359971073405993</v>
      </c>
      <c r="F106" s="11">
        <f ca="1">F58/VMT!F$4</f>
        <v>9.134908436266112E-2</v>
      </c>
      <c r="G106" s="11">
        <f ca="1">G58/VMT!G$4</f>
        <v>4.584272553433888E-2</v>
      </c>
      <c r="H106" s="11">
        <f ca="1">H58/VMT!H$4</f>
        <v>2.7274886614098433E-3</v>
      </c>
      <c r="I106" s="11">
        <f ca="1">I58/VMT!I$4</f>
        <v>0</v>
      </c>
      <c r="J106" s="11">
        <f ca="1">J58/VMT!J$4</f>
        <v>0</v>
      </c>
      <c r="K106" s="11">
        <f ca="1">K58/VMT!K$4</f>
        <v>0</v>
      </c>
      <c r="L106" s="11">
        <f ca="1">L58/VMT!L$4</f>
        <v>0</v>
      </c>
      <c r="M106" s="11">
        <f ca="1">M58/VMT!M$4</f>
        <v>0</v>
      </c>
      <c r="N106" s="11">
        <f ca="1">N58/VMT!N$4</f>
        <v>0</v>
      </c>
      <c r="O106" s="11">
        <f ca="1">O58/VMT!O$4</f>
        <v>0</v>
      </c>
      <c r="P106" s="11">
        <f ca="1">P58/VMT!P$4</f>
        <v>0</v>
      </c>
      <c r="Q106" s="11">
        <f ca="1">Q58/VMT!Q$4</f>
        <v>0</v>
      </c>
      <c r="R106" s="11">
        <f ca="1">R58/VMT!R$4</f>
        <v>0</v>
      </c>
      <c r="S106" s="11">
        <f ca="1">S58/VMT!S$4</f>
        <v>0</v>
      </c>
      <c r="T106" s="11">
        <f ca="1">T58/VMT!T$4</f>
        <v>0</v>
      </c>
      <c r="U106" s="11">
        <f ca="1">U58/VMT!U$4</f>
        <v>0</v>
      </c>
      <c r="V106" s="11">
        <f ca="1">V58/VMT!V$4</f>
        <v>0</v>
      </c>
      <c r="W106" s="11">
        <f ca="1">W58/VMT!W$4</f>
        <v>0</v>
      </c>
      <c r="X106" s="11">
        <f ca="1">X58/VMT!X$4</f>
        <v>0</v>
      </c>
      <c r="Y106" s="11">
        <f ca="1">Y58/VMT!Y$4</f>
        <v>0</v>
      </c>
      <c r="Z106" s="11">
        <f ca="1">Z58/VMT!Z$4</f>
        <v>0</v>
      </c>
      <c r="AA106" s="11">
        <f ca="1">AA58/VMT!AA$4</f>
        <v>0</v>
      </c>
      <c r="AB106" s="11">
        <f ca="1">AB58/VMT!AB$4</f>
        <v>0</v>
      </c>
      <c r="AC106" s="11">
        <f ca="1">AC58/VMT!AC$4</f>
        <v>0</v>
      </c>
      <c r="AD106" s="11">
        <f ca="1">AD58/VMT!AD$4</f>
        <v>0</v>
      </c>
      <c r="AE106" s="11">
        <f ca="1">AE58/VMT!AE$4</f>
        <v>0</v>
      </c>
      <c r="AF106" s="11">
        <f ca="1">AF58/VMT!AF$4</f>
        <v>0</v>
      </c>
      <c r="AH106" s="74">
        <f t="shared" ca="1" si="48"/>
        <v>8.2510570229516411E-2</v>
      </c>
    </row>
    <row r="107" spans="1:36" x14ac:dyDescent="0.45">
      <c r="A107" s="135"/>
      <c r="B107" t="s">
        <v>54</v>
      </c>
      <c r="C107" s="11">
        <f ca="1">C59/VMT!C$4</f>
        <v>0.15620697056069116</v>
      </c>
      <c r="D107" s="11">
        <f ca="1">D59/VMT!D$4</f>
        <v>0.15620697056069116</v>
      </c>
      <c r="E107" s="11">
        <f ca="1">E59/VMT!E$4</f>
        <v>0.15620697056069116</v>
      </c>
      <c r="F107" s="11">
        <f ca="1">F59/VMT!F$4</f>
        <v>0.15620697056069116</v>
      </c>
      <c r="G107" s="11">
        <f ca="1">G59/VMT!G$4</f>
        <v>0.15620697056069116</v>
      </c>
      <c r="H107" s="11">
        <f ca="1">H59/VMT!H$4</f>
        <v>0.15620697056069116</v>
      </c>
      <c r="I107" s="11">
        <f ca="1">I59/VMT!I$4</f>
        <v>0.15620697056069116</v>
      </c>
      <c r="J107" s="11">
        <f ca="1">J59/VMT!J$4</f>
        <v>0.15620697056069116</v>
      </c>
      <c r="K107" s="11">
        <f ca="1">K59/VMT!K$4</f>
        <v>0.15620697056069116</v>
      </c>
      <c r="L107" s="11">
        <f ca="1">L59/VMT!L$4</f>
        <v>0.15620697056069116</v>
      </c>
      <c r="M107" s="11">
        <f ca="1">M59/VMT!M$4</f>
        <v>0</v>
      </c>
      <c r="N107" s="11">
        <f ca="1">N59/VMT!N$4</f>
        <v>0</v>
      </c>
      <c r="O107" s="11">
        <f ca="1">O59/VMT!O$4</f>
        <v>0</v>
      </c>
      <c r="P107" s="11">
        <f ca="1">P59/VMT!P$4</f>
        <v>0</v>
      </c>
      <c r="Q107" s="11">
        <f ca="1">Q59/VMT!Q$4</f>
        <v>0</v>
      </c>
      <c r="R107" s="11">
        <f ca="1">R59/VMT!R$4</f>
        <v>0</v>
      </c>
      <c r="S107" s="11">
        <f ca="1">S59/VMT!S$4</f>
        <v>0</v>
      </c>
      <c r="T107" s="11">
        <f ca="1">T59/VMT!T$4</f>
        <v>0</v>
      </c>
      <c r="U107" s="11">
        <f ca="1">U59/VMT!U$4</f>
        <v>0</v>
      </c>
      <c r="V107" s="11">
        <f ca="1">V59/VMT!V$4</f>
        <v>0</v>
      </c>
      <c r="W107" s="11">
        <f ca="1">W59/VMT!W$4</f>
        <v>0</v>
      </c>
      <c r="X107" s="11">
        <f ca="1">X59/VMT!X$4</f>
        <v>0</v>
      </c>
      <c r="Y107" s="11">
        <f ca="1">Y59/VMT!Y$4</f>
        <v>0</v>
      </c>
      <c r="Z107" s="11">
        <f ca="1">Z59/VMT!Z$4</f>
        <v>0</v>
      </c>
      <c r="AA107" s="11">
        <f ca="1">AA59/VMT!AA$4</f>
        <v>0</v>
      </c>
      <c r="AB107" s="11">
        <f ca="1">AB59/VMT!AB$4</f>
        <v>0</v>
      </c>
      <c r="AC107" s="11">
        <f ca="1">AC59/VMT!AC$4</f>
        <v>0</v>
      </c>
      <c r="AD107" s="11">
        <f ca="1">AD59/VMT!AD$4</f>
        <v>0</v>
      </c>
      <c r="AE107" s="11">
        <f ca="1">AE59/VMT!AE$4</f>
        <v>0</v>
      </c>
      <c r="AF107" s="11">
        <f ca="1">AF59/VMT!AF$4</f>
        <v>0</v>
      </c>
      <c r="AH107" s="74">
        <f t="shared" ca="1" si="48"/>
        <v>0.15620697056069113</v>
      </c>
    </row>
    <row r="108" spans="1:36" x14ac:dyDescent="0.45">
      <c r="A108" s="135"/>
      <c r="B108" t="s">
        <v>25</v>
      </c>
      <c r="C108" s="11">
        <f ca="1">C60/VMT!C$4</f>
        <v>0.47272212757726156</v>
      </c>
      <c r="D108" s="11">
        <f ca="1">D60/VMT!D$4</f>
        <v>0.4763263393699112</v>
      </c>
      <c r="E108" s="11">
        <f ca="1">E60/VMT!E$4</f>
        <v>0.48912936944483071</v>
      </c>
      <c r="F108" s="11">
        <f ca="1">F60/VMT!F$4</f>
        <v>0.51113197021278289</v>
      </c>
      <c r="G108" s="11">
        <f ca="1">G60/VMT!G$4</f>
        <v>0.56980179494216654</v>
      </c>
      <c r="H108" s="11">
        <f ca="1">H60/VMT!H$4</f>
        <v>0.63520598287787355</v>
      </c>
      <c r="I108" s="11">
        <f ca="1">I60/VMT!I$4</f>
        <v>0.70811753186000104</v>
      </c>
      <c r="J108" s="11">
        <f ca="1">J60/VMT!J$4</f>
        <v>0.78939816759236359</v>
      </c>
      <c r="K108" s="11">
        <f ca="1">K60/VMT!K$4</f>
        <v>0.88000852819074316</v>
      </c>
      <c r="L108" s="11">
        <f ca="1">L60/VMT!L$4</f>
        <v>0.9810195177553761</v>
      </c>
      <c r="M108" s="11">
        <f ca="1">M60/VMT!M$4</f>
        <v>0</v>
      </c>
      <c r="N108" s="11">
        <f ca="1">N60/VMT!N$4</f>
        <v>0</v>
      </c>
      <c r="O108" s="11">
        <f ca="1">O60/VMT!O$4</f>
        <v>0</v>
      </c>
      <c r="P108" s="11">
        <f ca="1">P60/VMT!P$4</f>
        <v>0</v>
      </c>
      <c r="Q108" s="11">
        <f ca="1">Q60/VMT!Q$4</f>
        <v>0</v>
      </c>
      <c r="R108" s="11">
        <f ca="1">R60/VMT!R$4</f>
        <v>0</v>
      </c>
      <c r="S108" s="11">
        <f ca="1">S60/VMT!S$4</f>
        <v>0</v>
      </c>
      <c r="T108" s="11">
        <f ca="1">T60/VMT!T$4</f>
        <v>0</v>
      </c>
      <c r="U108" s="11">
        <f ca="1">U60/VMT!U$4</f>
        <v>0</v>
      </c>
      <c r="V108" s="11">
        <f ca="1">V60/VMT!V$4</f>
        <v>0</v>
      </c>
      <c r="W108" s="11">
        <f ca="1">W60/VMT!W$4</f>
        <v>0</v>
      </c>
      <c r="X108" s="11">
        <f ca="1">X60/VMT!X$4</f>
        <v>0</v>
      </c>
      <c r="Y108" s="11">
        <f ca="1">Y60/VMT!Y$4</f>
        <v>0</v>
      </c>
      <c r="Z108" s="11">
        <f ca="1">Z60/VMT!Z$4</f>
        <v>0</v>
      </c>
      <c r="AA108" s="11">
        <f ca="1">AA60/VMT!AA$4</f>
        <v>0</v>
      </c>
      <c r="AB108" s="11">
        <f ca="1">AB60/VMT!AB$4</f>
        <v>0</v>
      </c>
      <c r="AC108" s="11">
        <f ca="1">AC60/VMT!AC$4</f>
        <v>0</v>
      </c>
      <c r="AD108" s="11">
        <f ca="1">AD60/VMT!AD$4</f>
        <v>0</v>
      </c>
      <c r="AE108" s="11">
        <f ca="1">AE60/VMT!AE$4</f>
        <v>0</v>
      </c>
      <c r="AF108" s="11">
        <f ca="1">AF60/VMT!AF$4</f>
        <v>0</v>
      </c>
      <c r="AH108" s="74">
        <f t="shared" ca="1" si="48"/>
        <v>0.61051286286127415</v>
      </c>
    </row>
    <row r="109" spans="1:36" x14ac:dyDescent="0.45">
      <c r="A109" s="135"/>
      <c r="B109" t="s">
        <v>41</v>
      </c>
      <c r="C109" s="11">
        <f ca="1">C61/VMT!C$4</f>
        <v>1.4095140793188059</v>
      </c>
      <c r="D109" s="11">
        <f ca="1">D61/VMT!D$4</f>
        <v>3.0212699240034367E-3</v>
      </c>
      <c r="E109" s="11">
        <f ca="1">E61/VMT!E$4</f>
        <v>3.1024777147643547E-3</v>
      </c>
      <c r="F109" s="11">
        <f ca="1">F61/VMT!F$4</f>
        <v>3.2420370682067945E-3</v>
      </c>
      <c r="G109" s="11">
        <f ca="1">G61/VMT!G$4</f>
        <v>3.6141713850617418E-3</v>
      </c>
      <c r="H109" s="11">
        <f ca="1">H61/VMT!H$4</f>
        <v>4.0290208056825124E-3</v>
      </c>
      <c r="I109" s="11">
        <f ca="1">I61/VMT!I$4</f>
        <v>4.4914883449405779E-3</v>
      </c>
      <c r="J109" s="11">
        <f ca="1">J61/VMT!J$4</f>
        <v>5.0070398058715626E-3</v>
      </c>
      <c r="K109" s="11">
        <f ca="1">K61/VMT!K$4</f>
        <v>5.5817683788098567E-3</v>
      </c>
      <c r="L109" s="11">
        <f ca="1">L61/VMT!L$4</f>
        <v>6.2224666554769568E-3</v>
      </c>
      <c r="M109" s="11">
        <f ca="1">M61/VMT!M$4</f>
        <v>0</v>
      </c>
      <c r="N109" s="11">
        <f ca="1">N61/VMT!N$4</f>
        <v>0</v>
      </c>
      <c r="O109" s="11">
        <f ca="1">O61/VMT!O$4</f>
        <v>0</v>
      </c>
      <c r="P109" s="11">
        <f ca="1">P61/VMT!P$4</f>
        <v>0</v>
      </c>
      <c r="Q109" s="11">
        <f ca="1">Q61/VMT!Q$4</f>
        <v>0</v>
      </c>
      <c r="R109" s="11">
        <f ca="1">R61/VMT!R$4</f>
        <v>0</v>
      </c>
      <c r="S109" s="11">
        <f ca="1">S61/VMT!S$4</f>
        <v>0</v>
      </c>
      <c r="T109" s="11">
        <f ca="1">T61/VMT!T$4</f>
        <v>0</v>
      </c>
      <c r="U109" s="11">
        <f ca="1">U61/VMT!U$4</f>
        <v>0</v>
      </c>
      <c r="V109" s="11">
        <f ca="1">V61/VMT!V$4</f>
        <v>0</v>
      </c>
      <c r="W109" s="11">
        <f ca="1">W61/VMT!W$4</f>
        <v>0</v>
      </c>
      <c r="X109" s="11">
        <f ca="1">X61/VMT!X$4</f>
        <v>0</v>
      </c>
      <c r="Y109" s="11">
        <f ca="1">Y61/VMT!Y$4</f>
        <v>0</v>
      </c>
      <c r="Z109" s="11">
        <f ca="1">Z61/VMT!Z$4</f>
        <v>0</v>
      </c>
      <c r="AA109" s="11">
        <f ca="1">AA61/VMT!AA$4</f>
        <v>0</v>
      </c>
      <c r="AB109" s="11">
        <f ca="1">AB61/VMT!AB$4</f>
        <v>0</v>
      </c>
      <c r="AC109" s="11">
        <f ca="1">AC61/VMT!AC$4</f>
        <v>0</v>
      </c>
      <c r="AD109" s="11">
        <f ca="1">AD61/VMT!AD$4</f>
        <v>0</v>
      </c>
      <c r="AE109" s="11">
        <f ca="1">AE61/VMT!AE$4</f>
        <v>0</v>
      </c>
      <c r="AF109" s="11">
        <f ca="1">AF61/VMT!AF$4</f>
        <v>0</v>
      </c>
      <c r="AH109" s="74">
        <f t="shared" ca="1" si="48"/>
        <v>0.18552158437052191</v>
      </c>
    </row>
    <row r="110" spans="1:36" x14ac:dyDescent="0.45">
      <c r="A110" s="135"/>
      <c r="B110" t="s">
        <v>23</v>
      </c>
      <c r="C110" s="11">
        <f ca="1">C62/VMT!C$4</f>
        <v>0.37386016641010023</v>
      </c>
      <c r="D110" s="11">
        <f ca="1">D62/VMT!D$4</f>
        <v>0.41183475477891629</v>
      </c>
      <c r="E110" s="11">
        <f ca="1">E62/VMT!E$4</f>
        <v>0.44854462159240305</v>
      </c>
      <c r="F110" s="11">
        <f ca="1">F62/VMT!F$4</f>
        <v>0.56175255202180152</v>
      </c>
      <c r="G110" s="11">
        <f ca="1">G62/VMT!G$4</f>
        <v>0.65697175792112017</v>
      </c>
      <c r="H110" s="11">
        <f ca="1">H62/VMT!H$4</f>
        <v>0.71379241807752192</v>
      </c>
      <c r="I110" s="11">
        <f ca="1">I62/VMT!I$4</f>
        <v>0.81285822727008372</v>
      </c>
      <c r="J110" s="11">
        <f ca="1">J62/VMT!J$4</f>
        <v>0.91496097231817575</v>
      </c>
      <c r="K110" s="11">
        <f ca="1">K62/VMT!K$4</f>
        <v>1.0219866709847949</v>
      </c>
      <c r="L110" s="11">
        <f ca="1">L62/VMT!L$4</f>
        <v>1.206695947545714</v>
      </c>
      <c r="M110" s="11">
        <f ca="1">M62/VMT!M$4</f>
        <v>0</v>
      </c>
      <c r="N110" s="11">
        <f ca="1">N62/VMT!N$4</f>
        <v>0</v>
      </c>
      <c r="O110" s="11">
        <f ca="1">O62/VMT!O$4</f>
        <v>0</v>
      </c>
      <c r="P110" s="11">
        <f ca="1">P62/VMT!P$4</f>
        <v>0</v>
      </c>
      <c r="Q110" s="11">
        <f ca="1">Q62/VMT!Q$4</f>
        <v>0</v>
      </c>
      <c r="R110" s="11">
        <f ca="1">R62/VMT!R$4</f>
        <v>0</v>
      </c>
      <c r="S110" s="11">
        <f ca="1">S62/VMT!S$4</f>
        <v>0</v>
      </c>
      <c r="T110" s="11">
        <f ca="1">T62/VMT!T$4</f>
        <v>0</v>
      </c>
      <c r="U110" s="11">
        <f ca="1">U62/VMT!U$4</f>
        <v>0</v>
      </c>
      <c r="V110" s="11">
        <f ca="1">V62/VMT!V$4</f>
        <v>0</v>
      </c>
      <c r="W110" s="11">
        <f ca="1">W62/VMT!W$4</f>
        <v>0</v>
      </c>
      <c r="X110" s="11">
        <f ca="1">X62/VMT!X$4</f>
        <v>0</v>
      </c>
      <c r="Y110" s="11">
        <f ca="1">Y62/VMT!Y$4</f>
        <v>0</v>
      </c>
      <c r="Z110" s="11">
        <f ca="1">Z62/VMT!Z$4</f>
        <v>0</v>
      </c>
      <c r="AA110" s="11">
        <f ca="1">AA62/VMT!AA$4</f>
        <v>0</v>
      </c>
      <c r="AB110" s="11">
        <f ca="1">AB62/VMT!AB$4</f>
        <v>0</v>
      </c>
      <c r="AC110" s="11">
        <f ca="1">AC62/VMT!AC$4</f>
        <v>0</v>
      </c>
      <c r="AD110" s="11">
        <f ca="1">AD62/VMT!AD$4</f>
        <v>0</v>
      </c>
      <c r="AE110" s="11">
        <f ca="1">AE62/VMT!AE$4</f>
        <v>0</v>
      </c>
      <c r="AF110" s="11">
        <f ca="1">AF62/VMT!AF$4</f>
        <v>0</v>
      </c>
      <c r="AH110" s="74">
        <f t="shared" ca="1" si="48"/>
        <v>0.64998816241616486</v>
      </c>
    </row>
    <row r="111" spans="1:36" x14ac:dyDescent="0.45">
      <c r="A111" s="135"/>
      <c r="B111" t="s">
        <v>40</v>
      </c>
      <c r="C111" s="11">
        <f ca="1">C63/VMT!C$4</f>
        <v>0</v>
      </c>
      <c r="D111" s="11">
        <f ca="1">D63/VMT!D$4</f>
        <v>0</v>
      </c>
      <c r="E111" s="11">
        <f ca="1">E63/VMT!E$4</f>
        <v>0</v>
      </c>
      <c r="F111" s="11">
        <f ca="1">F63/VMT!F$4</f>
        <v>0</v>
      </c>
      <c r="G111" s="11">
        <f ca="1">G63/VMT!G$4</f>
        <v>0</v>
      </c>
      <c r="H111" s="11">
        <f ca="1">H63/VMT!H$4</f>
        <v>0</v>
      </c>
      <c r="I111" s="11">
        <f ca="1">I63/VMT!I$4</f>
        <v>0</v>
      </c>
      <c r="J111" s="11">
        <f ca="1">J63/VMT!J$4</f>
        <v>0</v>
      </c>
      <c r="K111" s="11">
        <f ca="1">K63/VMT!K$4</f>
        <v>0</v>
      </c>
      <c r="L111" s="11">
        <f ca="1">L63/VMT!L$4</f>
        <v>0</v>
      </c>
      <c r="M111" s="11">
        <f ca="1">M63/VMT!M$4</f>
        <v>0</v>
      </c>
      <c r="N111" s="11">
        <f ca="1">N63/VMT!N$4</f>
        <v>0</v>
      </c>
      <c r="O111" s="11">
        <f ca="1">O63/VMT!O$4</f>
        <v>0</v>
      </c>
      <c r="P111" s="11">
        <f ca="1">P63/VMT!P$4</f>
        <v>0</v>
      </c>
      <c r="Q111" s="11">
        <f ca="1">Q63/VMT!Q$4</f>
        <v>0</v>
      </c>
      <c r="R111" s="11">
        <f ca="1">R63/VMT!R$4</f>
        <v>0</v>
      </c>
      <c r="S111" s="11">
        <f ca="1">S63/VMT!S$4</f>
        <v>0</v>
      </c>
      <c r="T111" s="11">
        <f ca="1">T63/VMT!T$4</f>
        <v>0</v>
      </c>
      <c r="U111" s="11">
        <f ca="1">U63/VMT!U$4</f>
        <v>0</v>
      </c>
      <c r="V111" s="11">
        <f ca="1">V63/VMT!V$4</f>
        <v>0</v>
      </c>
      <c r="W111" s="11">
        <f ca="1">W63/VMT!W$4</f>
        <v>0</v>
      </c>
      <c r="X111" s="11">
        <f ca="1">X63/VMT!X$4</f>
        <v>0</v>
      </c>
      <c r="Y111" s="11">
        <f ca="1">Y63/VMT!Y$4</f>
        <v>0</v>
      </c>
      <c r="Z111" s="11">
        <f ca="1">Z63/VMT!Z$4</f>
        <v>0</v>
      </c>
      <c r="AA111" s="11">
        <f ca="1">AA63/VMT!AA$4</f>
        <v>0</v>
      </c>
      <c r="AB111" s="11">
        <f ca="1">AB63/VMT!AB$4</f>
        <v>0</v>
      </c>
      <c r="AC111" s="11">
        <f ca="1">AC63/VMT!AC$4</f>
        <v>0</v>
      </c>
      <c r="AD111" s="11">
        <f ca="1">AD63/VMT!AD$4</f>
        <v>0</v>
      </c>
      <c r="AE111" s="11">
        <f ca="1">AE63/VMT!AE$4</f>
        <v>0</v>
      </c>
      <c r="AF111" s="11">
        <f ca="1">AF63/VMT!AF$4</f>
        <v>0</v>
      </c>
      <c r="AH111" s="74">
        <f t="shared" ca="1" si="48"/>
        <v>0</v>
      </c>
    </row>
    <row r="112" spans="1:36" x14ac:dyDescent="0.45">
      <c r="A112" s="135"/>
      <c r="B112" t="s">
        <v>85</v>
      </c>
      <c r="C112" s="11">
        <f ca="1">C64/VMT!C$4</f>
        <v>2.5731029939009945E-2</v>
      </c>
      <c r="D112" s="11">
        <f ca="1">D64/VMT!D$4</f>
        <v>2.5731029939009938E-2</v>
      </c>
      <c r="E112" s="11">
        <f ca="1">E64/VMT!E$4</f>
        <v>2.5731029939009942E-2</v>
      </c>
      <c r="F112" s="11">
        <f ca="1">F64/VMT!F$4</f>
        <v>2.5731029939009942E-2</v>
      </c>
      <c r="G112" s="11">
        <f ca="1">G64/VMT!G$4</f>
        <v>2.5731029939009942E-2</v>
      </c>
      <c r="H112" s="11">
        <f ca="1">H64/VMT!H$4</f>
        <v>2.5731029939009945E-2</v>
      </c>
      <c r="I112" s="11">
        <f ca="1">I64/VMT!I$4</f>
        <v>2.5731029939009945E-2</v>
      </c>
      <c r="J112" s="11">
        <f ca="1">J64/VMT!J$4</f>
        <v>2.5731029939009942E-2</v>
      </c>
      <c r="K112" s="11">
        <f ca="1">K64/VMT!K$4</f>
        <v>2.5731029939009942E-2</v>
      </c>
      <c r="L112" s="11">
        <f ca="1">L64/VMT!L$4</f>
        <v>2.5731029939009942E-2</v>
      </c>
      <c r="M112" s="11">
        <f ca="1">M64/VMT!M$4</f>
        <v>0</v>
      </c>
      <c r="N112" s="11">
        <f ca="1">N64/VMT!N$4</f>
        <v>0</v>
      </c>
      <c r="O112" s="11">
        <f ca="1">O64/VMT!O$4</f>
        <v>0</v>
      </c>
      <c r="P112" s="11">
        <f ca="1">P64/VMT!P$4</f>
        <v>0</v>
      </c>
      <c r="Q112" s="11">
        <f ca="1">Q64/VMT!Q$4</f>
        <v>0</v>
      </c>
      <c r="R112" s="11">
        <f ca="1">R64/VMT!R$4</f>
        <v>0</v>
      </c>
      <c r="S112" s="11">
        <f ca="1">S64/VMT!S$4</f>
        <v>0</v>
      </c>
      <c r="T112" s="11">
        <f ca="1">T64/VMT!T$4</f>
        <v>0</v>
      </c>
      <c r="U112" s="11">
        <f ca="1">U64/VMT!U$4</f>
        <v>0</v>
      </c>
      <c r="V112" s="11">
        <f ca="1">V64/VMT!V$4</f>
        <v>0</v>
      </c>
      <c r="W112" s="11">
        <f ca="1">W64/VMT!W$4</f>
        <v>0</v>
      </c>
      <c r="X112" s="11">
        <f ca="1">X64/VMT!X$4</f>
        <v>0</v>
      </c>
      <c r="Y112" s="11">
        <f ca="1">Y64/VMT!Y$4</f>
        <v>0</v>
      </c>
      <c r="Z112" s="11">
        <f ca="1">Z64/VMT!Z$4</f>
        <v>0</v>
      </c>
      <c r="AA112" s="11">
        <f ca="1">AA64/VMT!AA$4</f>
        <v>0</v>
      </c>
      <c r="AB112" s="11">
        <f ca="1">AB64/VMT!AB$4</f>
        <v>0</v>
      </c>
      <c r="AC112" s="11">
        <f ca="1">AC64/VMT!AC$4</f>
        <v>0</v>
      </c>
      <c r="AD112" s="11">
        <f ca="1">AD64/VMT!AD$4</f>
        <v>0</v>
      </c>
      <c r="AE112" s="11">
        <f ca="1">AE64/VMT!AE$4</f>
        <v>0</v>
      </c>
      <c r="AF112" s="11">
        <f ca="1">AF64/VMT!AF$4</f>
        <v>0</v>
      </c>
      <c r="AH112" s="74">
        <f t="shared" ca="1" si="48"/>
        <v>2.5731029939009942E-2</v>
      </c>
    </row>
    <row r="113" spans="1:37" x14ac:dyDescent="0.45">
      <c r="A113" s="135"/>
      <c r="B113" t="s">
        <v>87</v>
      </c>
      <c r="C113" s="11">
        <f ca="1">C65/VMT!C$4</f>
        <v>2.002081774229167</v>
      </c>
      <c r="D113" s="11">
        <f ca="1">D65/VMT!D$4</f>
        <v>2.0020817742291666</v>
      </c>
      <c r="E113" s="11">
        <f ca="1">E65/VMT!E$4</f>
        <v>2.002081774229167</v>
      </c>
      <c r="F113" s="11">
        <f ca="1">F65/VMT!F$4</f>
        <v>2.0020817742291666</v>
      </c>
      <c r="G113" s="11">
        <f ca="1">G65/VMT!G$4</f>
        <v>2.0020817742291666</v>
      </c>
      <c r="H113" s="11">
        <f ca="1">H65/VMT!H$4</f>
        <v>2.0020817742291666</v>
      </c>
      <c r="I113" s="11">
        <f ca="1">I65/VMT!I$4</f>
        <v>2.0020817742291666</v>
      </c>
      <c r="J113" s="11">
        <f ca="1">J65/VMT!J$4</f>
        <v>2.0020817742291666</v>
      </c>
      <c r="K113" s="11">
        <f ca="1">K65/VMT!K$4</f>
        <v>2.0020817742291666</v>
      </c>
      <c r="L113" s="11">
        <f ca="1">L65/VMT!L$4</f>
        <v>2.002081774229167</v>
      </c>
      <c r="M113" s="11">
        <f ca="1">M65/VMT!M$4</f>
        <v>0</v>
      </c>
      <c r="N113" s="11">
        <f ca="1">N65/VMT!N$4</f>
        <v>0</v>
      </c>
      <c r="O113" s="11">
        <f ca="1">O65/VMT!O$4</f>
        <v>0</v>
      </c>
      <c r="P113" s="11">
        <f ca="1">P65/VMT!P$4</f>
        <v>0</v>
      </c>
      <c r="Q113" s="11">
        <f ca="1">Q65/VMT!Q$4</f>
        <v>0</v>
      </c>
      <c r="R113" s="11">
        <f ca="1">R65/VMT!R$4</f>
        <v>0</v>
      </c>
      <c r="S113" s="11">
        <f ca="1">S65/VMT!S$4</f>
        <v>0</v>
      </c>
      <c r="T113" s="11">
        <f ca="1">T65/VMT!T$4</f>
        <v>0</v>
      </c>
      <c r="U113" s="11">
        <f ca="1">U65/VMT!U$4</f>
        <v>0</v>
      </c>
      <c r="V113" s="11">
        <f ca="1">V65/VMT!V$4</f>
        <v>0</v>
      </c>
      <c r="W113" s="11">
        <f ca="1">W65/VMT!W$4</f>
        <v>0</v>
      </c>
      <c r="X113" s="11">
        <f ca="1">X65/VMT!X$4</f>
        <v>0</v>
      </c>
      <c r="Y113" s="11">
        <f ca="1">Y65/VMT!Y$4</f>
        <v>0</v>
      </c>
      <c r="Z113" s="11">
        <f ca="1">Z65/VMT!Z$4</f>
        <v>0</v>
      </c>
      <c r="AA113" s="11">
        <f ca="1">AA65/VMT!AA$4</f>
        <v>0</v>
      </c>
      <c r="AB113" s="11">
        <f ca="1">AB65/VMT!AB$4</f>
        <v>0</v>
      </c>
      <c r="AC113" s="11">
        <f ca="1">AC65/VMT!AC$4</f>
        <v>0</v>
      </c>
      <c r="AD113" s="11">
        <f ca="1">AD65/VMT!AD$4</f>
        <v>0</v>
      </c>
      <c r="AE113" s="11">
        <f ca="1">AE65/VMT!AE$4</f>
        <v>0</v>
      </c>
      <c r="AF113" s="11">
        <f ca="1">AF65/VMT!AF$4</f>
        <v>0</v>
      </c>
      <c r="AH113" s="74">
        <f t="shared" ca="1" si="48"/>
        <v>2.0020817742291661</v>
      </c>
    </row>
    <row r="115" spans="1:37" x14ac:dyDescent="0.45">
      <c r="A115" s="134" t="s">
        <v>366</v>
      </c>
      <c r="B115" t="s">
        <v>0</v>
      </c>
      <c r="C115">
        <v>1</v>
      </c>
      <c r="D115">
        <v>2</v>
      </c>
      <c r="E115">
        <v>3</v>
      </c>
      <c r="F115">
        <v>4</v>
      </c>
      <c r="G115">
        <v>5</v>
      </c>
      <c r="H115">
        <v>6</v>
      </c>
      <c r="I115">
        <v>7</v>
      </c>
      <c r="J115">
        <v>8</v>
      </c>
      <c r="K115">
        <v>9</v>
      </c>
      <c r="L115">
        <v>10</v>
      </c>
      <c r="M115">
        <v>11</v>
      </c>
      <c r="N115">
        <v>12</v>
      </c>
      <c r="O115">
        <v>13</v>
      </c>
      <c r="P115">
        <v>14</v>
      </c>
      <c r="Q115">
        <v>15</v>
      </c>
      <c r="R115">
        <v>16</v>
      </c>
      <c r="S115">
        <v>17</v>
      </c>
      <c r="T115">
        <v>18</v>
      </c>
      <c r="U115">
        <v>19</v>
      </c>
      <c r="V115">
        <v>20</v>
      </c>
      <c r="W115">
        <v>21</v>
      </c>
      <c r="X115">
        <v>22</v>
      </c>
      <c r="Y115">
        <v>23</v>
      </c>
      <c r="Z115">
        <v>24</v>
      </c>
      <c r="AA115">
        <v>25</v>
      </c>
      <c r="AB115">
        <v>26</v>
      </c>
      <c r="AC115">
        <v>27</v>
      </c>
      <c r="AD115">
        <v>28</v>
      </c>
      <c r="AE115">
        <v>29</v>
      </c>
      <c r="AF115">
        <v>30</v>
      </c>
      <c r="AH115" t="s">
        <v>114</v>
      </c>
    </row>
    <row r="116" spans="1:37" x14ac:dyDescent="0.45">
      <c r="A116" s="135"/>
      <c r="B116" t="s">
        <v>39</v>
      </c>
      <c r="C116" s="11">
        <f t="shared" ref="C116:AF116" ca="1" si="49">C68/C$80</f>
        <v>0.72288747331229386</v>
      </c>
      <c r="D116" s="11">
        <f t="shared" ca="1" si="49"/>
        <v>0.66503188618621967</v>
      </c>
      <c r="E116" s="11">
        <f t="shared" ca="1" si="49"/>
        <v>0.62243772513593554</v>
      </c>
      <c r="F116" s="11">
        <f t="shared" ca="1" si="49"/>
        <v>0.59208443485272189</v>
      </c>
      <c r="G116" s="11">
        <f t="shared" ca="1" si="49"/>
        <v>0.5979191646187465</v>
      </c>
      <c r="H116" s="11">
        <f t="shared" ca="1" si="49"/>
        <v>0.60485947176223931</v>
      </c>
      <c r="I116" s="11">
        <f t="shared" ca="1" si="49"/>
        <v>0.6128418847590289</v>
      </c>
      <c r="J116" s="11">
        <f t="shared" ca="1" si="49"/>
        <v>0.62181232471699865</v>
      </c>
      <c r="K116" s="11">
        <f t="shared" ca="1" si="49"/>
        <v>0.63172477345699918</v>
      </c>
      <c r="L116" s="11">
        <f t="shared" ca="1" si="49"/>
        <v>0.64254017105824712</v>
      </c>
      <c r="M116" s="11" t="e">
        <f t="shared" si="49"/>
        <v>#DIV/0!</v>
      </c>
      <c r="N116" s="11" t="e">
        <f t="shared" si="49"/>
        <v>#DIV/0!</v>
      </c>
      <c r="O116" s="11" t="e">
        <f t="shared" si="49"/>
        <v>#DIV/0!</v>
      </c>
      <c r="P116" s="11" t="e">
        <f t="shared" si="49"/>
        <v>#DIV/0!</v>
      </c>
      <c r="Q116" s="11" t="e">
        <f t="shared" si="49"/>
        <v>#DIV/0!</v>
      </c>
      <c r="R116" s="11" t="e">
        <f t="shared" si="49"/>
        <v>#DIV/0!</v>
      </c>
      <c r="S116" s="11" t="e">
        <f t="shared" si="49"/>
        <v>#DIV/0!</v>
      </c>
      <c r="T116" s="11" t="e">
        <f t="shared" si="49"/>
        <v>#DIV/0!</v>
      </c>
      <c r="U116" s="11" t="e">
        <f t="shared" si="49"/>
        <v>#DIV/0!</v>
      </c>
      <c r="V116" s="11" t="e">
        <f t="shared" si="49"/>
        <v>#DIV/0!</v>
      </c>
      <c r="W116" s="11" t="e">
        <f t="shared" si="49"/>
        <v>#DIV/0!</v>
      </c>
      <c r="X116" s="11" t="e">
        <f t="shared" si="49"/>
        <v>#DIV/0!</v>
      </c>
      <c r="Y116" s="11" t="e">
        <f t="shared" si="49"/>
        <v>#DIV/0!</v>
      </c>
      <c r="Z116" s="11" t="e">
        <f t="shared" si="49"/>
        <v>#DIV/0!</v>
      </c>
      <c r="AA116" s="11" t="e">
        <f t="shared" si="49"/>
        <v>#DIV/0!</v>
      </c>
      <c r="AB116" s="11" t="e">
        <f t="shared" si="49"/>
        <v>#DIV/0!</v>
      </c>
      <c r="AC116" s="11" t="e">
        <f t="shared" si="49"/>
        <v>#DIV/0!</v>
      </c>
      <c r="AD116" s="11" t="e">
        <f t="shared" si="49"/>
        <v>#DIV/0!</v>
      </c>
      <c r="AE116" s="11" t="e">
        <f t="shared" si="49"/>
        <v>#DIV/0!</v>
      </c>
      <c r="AF116" s="11" t="e">
        <f t="shared" si="49"/>
        <v>#DIV/0!</v>
      </c>
      <c r="AH116" s="74">
        <f ca="1">AH68/  SUM($C$80:$AF$80)</f>
        <v>0.63694179301657161</v>
      </c>
    </row>
    <row r="117" spans="1:37" x14ac:dyDescent="0.45">
      <c r="A117" s="135"/>
      <c r="B117" t="s">
        <v>4</v>
      </c>
      <c r="C117" s="11">
        <f t="shared" ref="C117:AF117" ca="1" si="50">C69/C$80</f>
        <v>0.21321241406836772</v>
      </c>
      <c r="D117" s="11">
        <f t="shared" ca="1" si="50"/>
        <v>0.17331620425690913</v>
      </c>
      <c r="E117" s="11">
        <f t="shared" ca="1" si="50"/>
        <v>0.13359971073405991</v>
      </c>
      <c r="F117" s="11">
        <f t="shared" ca="1" si="50"/>
        <v>9.134908436266112E-2</v>
      </c>
      <c r="G117" s="11">
        <f t="shared" ca="1" si="50"/>
        <v>4.584272553433888E-2</v>
      </c>
      <c r="H117" s="11">
        <f t="shared" ca="1" si="50"/>
        <v>2.7274886614098437E-3</v>
      </c>
      <c r="I117" s="11">
        <f t="shared" ca="1" si="50"/>
        <v>0</v>
      </c>
      <c r="J117" s="11">
        <f t="shared" ca="1" si="50"/>
        <v>0</v>
      </c>
      <c r="K117" s="11">
        <f t="shared" ca="1" si="50"/>
        <v>0</v>
      </c>
      <c r="L117" s="11">
        <f t="shared" ca="1" si="50"/>
        <v>0</v>
      </c>
      <c r="M117" s="11" t="e">
        <f t="shared" si="50"/>
        <v>#DIV/0!</v>
      </c>
      <c r="N117" s="11" t="e">
        <f t="shared" si="50"/>
        <v>#DIV/0!</v>
      </c>
      <c r="O117" s="11" t="e">
        <f t="shared" si="50"/>
        <v>#DIV/0!</v>
      </c>
      <c r="P117" s="11" t="e">
        <f t="shared" si="50"/>
        <v>#DIV/0!</v>
      </c>
      <c r="Q117" s="11" t="e">
        <f t="shared" si="50"/>
        <v>#DIV/0!</v>
      </c>
      <c r="R117" s="11" t="e">
        <f t="shared" si="50"/>
        <v>#DIV/0!</v>
      </c>
      <c r="S117" s="11" t="e">
        <f t="shared" si="50"/>
        <v>#DIV/0!</v>
      </c>
      <c r="T117" s="11" t="e">
        <f t="shared" si="50"/>
        <v>#DIV/0!</v>
      </c>
      <c r="U117" s="11" t="e">
        <f t="shared" si="50"/>
        <v>#DIV/0!</v>
      </c>
      <c r="V117" s="11" t="e">
        <f t="shared" si="50"/>
        <v>#DIV/0!</v>
      </c>
      <c r="W117" s="11" t="e">
        <f t="shared" si="50"/>
        <v>#DIV/0!</v>
      </c>
      <c r="X117" s="11" t="e">
        <f t="shared" si="50"/>
        <v>#DIV/0!</v>
      </c>
      <c r="Y117" s="11" t="e">
        <f t="shared" si="50"/>
        <v>#DIV/0!</v>
      </c>
      <c r="Z117" s="11" t="e">
        <f t="shared" si="50"/>
        <v>#DIV/0!</v>
      </c>
      <c r="AA117" s="11" t="e">
        <f t="shared" si="50"/>
        <v>#DIV/0!</v>
      </c>
      <c r="AB117" s="11" t="e">
        <f t="shared" si="50"/>
        <v>#DIV/0!</v>
      </c>
      <c r="AC117" s="11" t="e">
        <f t="shared" si="50"/>
        <v>#DIV/0!</v>
      </c>
      <c r="AD117" s="11" t="e">
        <f t="shared" si="50"/>
        <v>#DIV/0!</v>
      </c>
      <c r="AE117" s="11" t="e">
        <f t="shared" si="50"/>
        <v>#DIV/0!</v>
      </c>
      <c r="AF117" s="11" t="e">
        <f t="shared" si="50"/>
        <v>#DIV/0!</v>
      </c>
      <c r="AH117" s="74">
        <f t="shared" ref="AH117:AH124" ca="1" si="51">AH69/  SUM($C$80:$AF$80)</f>
        <v>9.2531669407026562E-2</v>
      </c>
    </row>
    <row r="118" spans="1:37" x14ac:dyDescent="0.45">
      <c r="A118" s="135"/>
      <c r="B118" t="s">
        <v>54</v>
      </c>
      <c r="C118" s="11">
        <f t="shared" ref="C118:AF118" ca="1" si="52">C70/C$80</f>
        <v>0.15620697056069116</v>
      </c>
      <c r="D118" s="11">
        <f t="shared" ca="1" si="52"/>
        <v>0.15620697056069116</v>
      </c>
      <c r="E118" s="11">
        <f t="shared" ca="1" si="52"/>
        <v>0.15620697056069116</v>
      </c>
      <c r="F118" s="11">
        <f t="shared" ca="1" si="52"/>
        <v>0.15620697056069116</v>
      </c>
      <c r="G118" s="11">
        <f t="shared" ca="1" si="52"/>
        <v>0.15620697056069116</v>
      </c>
      <c r="H118" s="11">
        <f t="shared" ca="1" si="52"/>
        <v>0.15620697056069116</v>
      </c>
      <c r="I118" s="11">
        <f t="shared" ca="1" si="52"/>
        <v>0.15620697056069113</v>
      </c>
      <c r="J118" s="11">
        <f t="shared" ca="1" si="52"/>
        <v>0.15620697056069116</v>
      </c>
      <c r="K118" s="11">
        <f t="shared" ca="1" si="52"/>
        <v>0.15620697056069116</v>
      </c>
      <c r="L118" s="11">
        <f t="shared" ca="1" si="52"/>
        <v>0.15620697056069116</v>
      </c>
      <c r="M118" s="11" t="e">
        <f t="shared" si="52"/>
        <v>#DIV/0!</v>
      </c>
      <c r="N118" s="11" t="e">
        <f t="shared" si="52"/>
        <v>#DIV/0!</v>
      </c>
      <c r="O118" s="11" t="e">
        <f t="shared" si="52"/>
        <v>#DIV/0!</v>
      </c>
      <c r="P118" s="11" t="e">
        <f t="shared" si="52"/>
        <v>#DIV/0!</v>
      </c>
      <c r="Q118" s="11" t="e">
        <f t="shared" si="52"/>
        <v>#DIV/0!</v>
      </c>
      <c r="R118" s="11" t="e">
        <f t="shared" si="52"/>
        <v>#DIV/0!</v>
      </c>
      <c r="S118" s="11" t="e">
        <f t="shared" si="52"/>
        <v>#DIV/0!</v>
      </c>
      <c r="T118" s="11" t="e">
        <f t="shared" si="52"/>
        <v>#DIV/0!</v>
      </c>
      <c r="U118" s="11" t="e">
        <f t="shared" si="52"/>
        <v>#DIV/0!</v>
      </c>
      <c r="V118" s="11" t="e">
        <f t="shared" si="52"/>
        <v>#DIV/0!</v>
      </c>
      <c r="W118" s="11" t="e">
        <f t="shared" si="52"/>
        <v>#DIV/0!</v>
      </c>
      <c r="X118" s="11" t="e">
        <f t="shared" si="52"/>
        <v>#DIV/0!</v>
      </c>
      <c r="Y118" s="11" t="e">
        <f t="shared" si="52"/>
        <v>#DIV/0!</v>
      </c>
      <c r="Z118" s="11" t="e">
        <f t="shared" si="52"/>
        <v>#DIV/0!</v>
      </c>
      <c r="AA118" s="11" t="e">
        <f t="shared" si="52"/>
        <v>#DIV/0!</v>
      </c>
      <c r="AB118" s="11" t="e">
        <f t="shared" si="52"/>
        <v>#DIV/0!</v>
      </c>
      <c r="AC118" s="11" t="e">
        <f t="shared" si="52"/>
        <v>#DIV/0!</v>
      </c>
      <c r="AD118" s="11" t="e">
        <f t="shared" si="52"/>
        <v>#DIV/0!</v>
      </c>
      <c r="AE118" s="11" t="e">
        <f t="shared" si="52"/>
        <v>#DIV/0!</v>
      </c>
      <c r="AF118" s="11" t="e">
        <f t="shared" si="52"/>
        <v>#DIV/0!</v>
      </c>
      <c r="AH118" s="74">
        <f t="shared" ca="1" si="51"/>
        <v>0.15620697056069116</v>
      </c>
      <c r="AK118" s="73"/>
    </row>
    <row r="119" spans="1:37" x14ac:dyDescent="0.45">
      <c r="A119" s="135"/>
      <c r="B119" t="s">
        <v>25</v>
      </c>
      <c r="C119" s="11">
        <f t="shared" ref="C119:AF119" ca="1" si="53">C71/C$80</f>
        <v>0.47272212757726156</v>
      </c>
      <c r="D119" s="11">
        <f t="shared" ca="1" si="53"/>
        <v>0.47632633936991114</v>
      </c>
      <c r="E119" s="11">
        <f t="shared" ca="1" si="53"/>
        <v>0.48912936944483071</v>
      </c>
      <c r="F119" s="11">
        <f t="shared" ca="1" si="53"/>
        <v>0.51113197021278289</v>
      </c>
      <c r="G119" s="11">
        <f t="shared" ca="1" si="53"/>
        <v>0.56980179494216654</v>
      </c>
      <c r="H119" s="11">
        <f t="shared" ca="1" si="53"/>
        <v>0.63520598287787355</v>
      </c>
      <c r="I119" s="11">
        <f t="shared" ca="1" si="53"/>
        <v>0.70811753186000104</v>
      </c>
      <c r="J119" s="11">
        <f t="shared" ca="1" si="53"/>
        <v>0.78939816759236359</v>
      </c>
      <c r="K119" s="11">
        <f t="shared" ca="1" si="53"/>
        <v>0.88000852819074316</v>
      </c>
      <c r="L119" s="11">
        <f t="shared" ca="1" si="53"/>
        <v>0.9810195177553761</v>
      </c>
      <c r="M119" s="11" t="e">
        <f t="shared" si="53"/>
        <v>#DIV/0!</v>
      </c>
      <c r="N119" s="11" t="e">
        <f t="shared" si="53"/>
        <v>#DIV/0!</v>
      </c>
      <c r="O119" s="11" t="e">
        <f t="shared" si="53"/>
        <v>#DIV/0!</v>
      </c>
      <c r="P119" s="11" t="e">
        <f t="shared" si="53"/>
        <v>#DIV/0!</v>
      </c>
      <c r="Q119" s="11" t="e">
        <f t="shared" si="53"/>
        <v>#DIV/0!</v>
      </c>
      <c r="R119" s="11" t="e">
        <f t="shared" si="53"/>
        <v>#DIV/0!</v>
      </c>
      <c r="S119" s="11" t="e">
        <f t="shared" si="53"/>
        <v>#DIV/0!</v>
      </c>
      <c r="T119" s="11" t="e">
        <f t="shared" si="53"/>
        <v>#DIV/0!</v>
      </c>
      <c r="U119" s="11" t="e">
        <f t="shared" si="53"/>
        <v>#DIV/0!</v>
      </c>
      <c r="V119" s="11" t="e">
        <f t="shared" si="53"/>
        <v>#DIV/0!</v>
      </c>
      <c r="W119" s="11" t="e">
        <f t="shared" si="53"/>
        <v>#DIV/0!</v>
      </c>
      <c r="X119" s="11" t="e">
        <f t="shared" si="53"/>
        <v>#DIV/0!</v>
      </c>
      <c r="Y119" s="11" t="e">
        <f t="shared" si="53"/>
        <v>#DIV/0!</v>
      </c>
      <c r="Z119" s="11" t="e">
        <f t="shared" si="53"/>
        <v>#DIV/0!</v>
      </c>
      <c r="AA119" s="11" t="e">
        <f t="shared" si="53"/>
        <v>#DIV/0!</v>
      </c>
      <c r="AB119" s="11" t="e">
        <f t="shared" si="53"/>
        <v>#DIV/0!</v>
      </c>
      <c r="AC119" s="11" t="e">
        <f t="shared" si="53"/>
        <v>#DIV/0!</v>
      </c>
      <c r="AD119" s="11" t="e">
        <f t="shared" si="53"/>
        <v>#DIV/0!</v>
      </c>
      <c r="AE119" s="11" t="e">
        <f t="shared" si="53"/>
        <v>#DIV/0!</v>
      </c>
      <c r="AF119" s="11" t="e">
        <f t="shared" si="53"/>
        <v>#DIV/0!</v>
      </c>
      <c r="AH119" s="74">
        <f t="shared" ca="1" si="51"/>
        <v>0.59108297265531018</v>
      </c>
    </row>
    <row r="120" spans="1:37" x14ac:dyDescent="0.45">
      <c r="A120" s="135"/>
      <c r="B120" t="s">
        <v>41</v>
      </c>
      <c r="C120" s="11">
        <f t="shared" ref="C120:AF120" ca="1" si="54">C72/C$80</f>
        <v>1.4095140793188059</v>
      </c>
      <c r="D120" s="11">
        <f t="shared" ca="1" si="54"/>
        <v>3.0212699240034367E-3</v>
      </c>
      <c r="E120" s="11">
        <f t="shared" ca="1" si="54"/>
        <v>3.1024777147643547E-3</v>
      </c>
      <c r="F120" s="11">
        <f t="shared" ca="1" si="54"/>
        <v>3.2420370682067945E-3</v>
      </c>
      <c r="G120" s="11">
        <f t="shared" ca="1" si="54"/>
        <v>3.6141713850617418E-3</v>
      </c>
      <c r="H120" s="11">
        <f t="shared" ca="1" si="54"/>
        <v>4.0290208056825124E-3</v>
      </c>
      <c r="I120" s="11">
        <f t="shared" ca="1" si="54"/>
        <v>4.4914883449405779E-3</v>
      </c>
      <c r="J120" s="11">
        <f t="shared" ca="1" si="54"/>
        <v>5.0070398058715635E-3</v>
      </c>
      <c r="K120" s="11">
        <f t="shared" ca="1" si="54"/>
        <v>5.5817683788098567E-3</v>
      </c>
      <c r="L120" s="11">
        <f t="shared" ca="1" si="54"/>
        <v>6.2224666554769568E-3</v>
      </c>
      <c r="M120" s="11" t="e">
        <f t="shared" si="54"/>
        <v>#DIV/0!</v>
      </c>
      <c r="N120" s="11" t="e">
        <f t="shared" si="54"/>
        <v>#DIV/0!</v>
      </c>
      <c r="O120" s="11" t="e">
        <f t="shared" si="54"/>
        <v>#DIV/0!</v>
      </c>
      <c r="P120" s="11" t="e">
        <f t="shared" si="54"/>
        <v>#DIV/0!</v>
      </c>
      <c r="Q120" s="11" t="e">
        <f t="shared" si="54"/>
        <v>#DIV/0!</v>
      </c>
      <c r="R120" s="11" t="e">
        <f t="shared" si="54"/>
        <v>#DIV/0!</v>
      </c>
      <c r="S120" s="11" t="e">
        <f t="shared" si="54"/>
        <v>#DIV/0!</v>
      </c>
      <c r="T120" s="11" t="e">
        <f t="shared" si="54"/>
        <v>#DIV/0!</v>
      </c>
      <c r="U120" s="11" t="e">
        <f t="shared" si="54"/>
        <v>#DIV/0!</v>
      </c>
      <c r="V120" s="11" t="e">
        <f t="shared" si="54"/>
        <v>#DIV/0!</v>
      </c>
      <c r="W120" s="11" t="e">
        <f t="shared" si="54"/>
        <v>#DIV/0!</v>
      </c>
      <c r="X120" s="11" t="e">
        <f t="shared" si="54"/>
        <v>#DIV/0!</v>
      </c>
      <c r="Y120" s="11" t="e">
        <f t="shared" si="54"/>
        <v>#DIV/0!</v>
      </c>
      <c r="Z120" s="11" t="e">
        <f t="shared" si="54"/>
        <v>#DIV/0!</v>
      </c>
      <c r="AA120" s="11" t="e">
        <f t="shared" si="54"/>
        <v>#DIV/0!</v>
      </c>
      <c r="AB120" s="11" t="e">
        <f t="shared" si="54"/>
        <v>#DIV/0!</v>
      </c>
      <c r="AC120" s="11" t="e">
        <f t="shared" si="54"/>
        <v>#DIV/0!</v>
      </c>
      <c r="AD120" s="11" t="e">
        <f t="shared" si="54"/>
        <v>#DIV/0!</v>
      </c>
      <c r="AE120" s="11" t="e">
        <f t="shared" si="54"/>
        <v>#DIV/0!</v>
      </c>
      <c r="AF120" s="11" t="e">
        <f t="shared" si="54"/>
        <v>#DIV/0!</v>
      </c>
      <c r="AH120" s="74">
        <f t="shared" ca="1" si="51"/>
        <v>0.2206608179259435</v>
      </c>
    </row>
    <row r="121" spans="1:37" x14ac:dyDescent="0.45">
      <c r="A121" s="135"/>
      <c r="B121" t="s">
        <v>23</v>
      </c>
      <c r="C121" s="11">
        <f t="shared" ref="C121:AF121" ca="1" si="55">C73/C$80</f>
        <v>0.37386016641010023</v>
      </c>
      <c r="D121" s="11">
        <f t="shared" ca="1" si="55"/>
        <v>0.41183475477891629</v>
      </c>
      <c r="E121" s="11">
        <f t="shared" ca="1" si="55"/>
        <v>0.44854462159240305</v>
      </c>
      <c r="F121" s="11">
        <f t="shared" ca="1" si="55"/>
        <v>0.56175255202180152</v>
      </c>
      <c r="G121" s="11">
        <f t="shared" ca="1" si="55"/>
        <v>0.65697175792112017</v>
      </c>
      <c r="H121" s="11">
        <f t="shared" ca="1" si="55"/>
        <v>0.71379241807752192</v>
      </c>
      <c r="I121" s="11">
        <f t="shared" ca="1" si="55"/>
        <v>0.81285822727008361</v>
      </c>
      <c r="J121" s="11">
        <f t="shared" ca="1" si="55"/>
        <v>0.91496097231817575</v>
      </c>
      <c r="K121" s="11">
        <f t="shared" ca="1" si="55"/>
        <v>1.0219866709847949</v>
      </c>
      <c r="L121" s="11">
        <f t="shared" ca="1" si="55"/>
        <v>1.206695947545714</v>
      </c>
      <c r="M121" s="11" t="e">
        <f t="shared" si="55"/>
        <v>#DIV/0!</v>
      </c>
      <c r="N121" s="11" t="e">
        <f t="shared" si="55"/>
        <v>#DIV/0!</v>
      </c>
      <c r="O121" s="11" t="e">
        <f t="shared" si="55"/>
        <v>#DIV/0!</v>
      </c>
      <c r="P121" s="11" t="e">
        <f t="shared" si="55"/>
        <v>#DIV/0!</v>
      </c>
      <c r="Q121" s="11" t="e">
        <f t="shared" si="55"/>
        <v>#DIV/0!</v>
      </c>
      <c r="R121" s="11" t="e">
        <f t="shared" si="55"/>
        <v>#DIV/0!</v>
      </c>
      <c r="S121" s="11" t="e">
        <f t="shared" si="55"/>
        <v>#DIV/0!</v>
      </c>
      <c r="T121" s="11" t="e">
        <f t="shared" si="55"/>
        <v>#DIV/0!</v>
      </c>
      <c r="U121" s="11" t="e">
        <f t="shared" si="55"/>
        <v>#DIV/0!</v>
      </c>
      <c r="V121" s="11" t="e">
        <f t="shared" si="55"/>
        <v>#DIV/0!</v>
      </c>
      <c r="W121" s="11" t="e">
        <f t="shared" si="55"/>
        <v>#DIV/0!</v>
      </c>
      <c r="X121" s="11" t="e">
        <f t="shared" si="55"/>
        <v>#DIV/0!</v>
      </c>
      <c r="Y121" s="11" t="e">
        <f t="shared" si="55"/>
        <v>#DIV/0!</v>
      </c>
      <c r="Z121" s="11" t="e">
        <f t="shared" si="55"/>
        <v>#DIV/0!</v>
      </c>
      <c r="AA121" s="11" t="e">
        <f t="shared" si="55"/>
        <v>#DIV/0!</v>
      </c>
      <c r="AB121" s="11" t="e">
        <f t="shared" si="55"/>
        <v>#DIV/0!</v>
      </c>
      <c r="AC121" s="11" t="e">
        <f t="shared" si="55"/>
        <v>#DIV/0!</v>
      </c>
      <c r="AD121" s="11" t="e">
        <f t="shared" si="55"/>
        <v>#DIV/0!</v>
      </c>
      <c r="AE121" s="11" t="e">
        <f t="shared" si="55"/>
        <v>#DIV/0!</v>
      </c>
      <c r="AF121" s="11" t="e">
        <f t="shared" si="55"/>
        <v>#DIV/0!</v>
      </c>
      <c r="AH121" s="74">
        <f t="shared" ca="1" si="51"/>
        <v>0.61848807231233827</v>
      </c>
    </row>
    <row r="122" spans="1:37" x14ac:dyDescent="0.45">
      <c r="A122" s="135"/>
      <c r="B122" t="s">
        <v>40</v>
      </c>
      <c r="C122" s="11">
        <f t="shared" ref="C122:AF122" ca="1" si="56">C74/C$80</f>
        <v>0</v>
      </c>
      <c r="D122" s="11">
        <f t="shared" ca="1" si="56"/>
        <v>0</v>
      </c>
      <c r="E122" s="11">
        <f t="shared" ca="1" si="56"/>
        <v>0</v>
      </c>
      <c r="F122" s="11">
        <f t="shared" ca="1" si="56"/>
        <v>0</v>
      </c>
      <c r="G122" s="11">
        <f t="shared" ca="1" si="56"/>
        <v>0</v>
      </c>
      <c r="H122" s="11">
        <f t="shared" ca="1" si="56"/>
        <v>0</v>
      </c>
      <c r="I122" s="11">
        <f t="shared" ca="1" si="56"/>
        <v>0</v>
      </c>
      <c r="J122" s="11">
        <f t="shared" ca="1" si="56"/>
        <v>0</v>
      </c>
      <c r="K122" s="11">
        <f t="shared" ca="1" si="56"/>
        <v>0</v>
      </c>
      <c r="L122" s="11">
        <f t="shared" ca="1" si="56"/>
        <v>0</v>
      </c>
      <c r="M122" s="11" t="e">
        <f t="shared" si="56"/>
        <v>#DIV/0!</v>
      </c>
      <c r="N122" s="11" t="e">
        <f t="shared" si="56"/>
        <v>#DIV/0!</v>
      </c>
      <c r="O122" s="11" t="e">
        <f t="shared" si="56"/>
        <v>#DIV/0!</v>
      </c>
      <c r="P122" s="11" t="e">
        <f t="shared" si="56"/>
        <v>#DIV/0!</v>
      </c>
      <c r="Q122" s="11" t="e">
        <f t="shared" si="56"/>
        <v>#DIV/0!</v>
      </c>
      <c r="R122" s="11" t="e">
        <f t="shared" si="56"/>
        <v>#DIV/0!</v>
      </c>
      <c r="S122" s="11" t="e">
        <f t="shared" si="56"/>
        <v>#DIV/0!</v>
      </c>
      <c r="T122" s="11" t="e">
        <f t="shared" si="56"/>
        <v>#DIV/0!</v>
      </c>
      <c r="U122" s="11" t="e">
        <f t="shared" si="56"/>
        <v>#DIV/0!</v>
      </c>
      <c r="V122" s="11" t="e">
        <f t="shared" si="56"/>
        <v>#DIV/0!</v>
      </c>
      <c r="W122" s="11" t="e">
        <f t="shared" si="56"/>
        <v>#DIV/0!</v>
      </c>
      <c r="X122" s="11" t="e">
        <f t="shared" si="56"/>
        <v>#DIV/0!</v>
      </c>
      <c r="Y122" s="11" t="e">
        <f t="shared" si="56"/>
        <v>#DIV/0!</v>
      </c>
      <c r="Z122" s="11" t="e">
        <f t="shared" si="56"/>
        <v>#DIV/0!</v>
      </c>
      <c r="AA122" s="11" t="e">
        <f t="shared" si="56"/>
        <v>#DIV/0!</v>
      </c>
      <c r="AB122" s="11" t="e">
        <f t="shared" si="56"/>
        <v>#DIV/0!</v>
      </c>
      <c r="AC122" s="11" t="e">
        <f t="shared" si="56"/>
        <v>#DIV/0!</v>
      </c>
      <c r="AD122" s="11" t="e">
        <f t="shared" si="56"/>
        <v>#DIV/0!</v>
      </c>
      <c r="AE122" s="11" t="e">
        <f t="shared" si="56"/>
        <v>#DIV/0!</v>
      </c>
      <c r="AF122" s="11" t="e">
        <f t="shared" si="56"/>
        <v>#DIV/0!</v>
      </c>
      <c r="AH122" s="74">
        <f t="shared" ca="1" si="51"/>
        <v>0</v>
      </c>
    </row>
    <row r="123" spans="1:37" x14ac:dyDescent="0.45">
      <c r="A123" s="135"/>
      <c r="B123" t="s">
        <v>85</v>
      </c>
      <c r="C123" s="11">
        <f t="shared" ref="C123:AF123" ca="1" si="57">C75/C$80</f>
        <v>2.5731029939009945E-2</v>
      </c>
      <c r="D123" s="11">
        <f t="shared" ca="1" si="57"/>
        <v>2.5731029939009938E-2</v>
      </c>
      <c r="E123" s="11">
        <f t="shared" ca="1" si="57"/>
        <v>2.5731029939009945E-2</v>
      </c>
      <c r="F123" s="11">
        <f t="shared" ca="1" si="57"/>
        <v>2.5731029939009945E-2</v>
      </c>
      <c r="G123" s="11">
        <f t="shared" ca="1" si="57"/>
        <v>2.5731029939009942E-2</v>
      </c>
      <c r="H123" s="11">
        <f t="shared" ca="1" si="57"/>
        <v>2.5731029939009945E-2</v>
      </c>
      <c r="I123" s="11">
        <f t="shared" ca="1" si="57"/>
        <v>2.5731029939009942E-2</v>
      </c>
      <c r="J123" s="11">
        <f t="shared" ca="1" si="57"/>
        <v>2.5731029939009942E-2</v>
      </c>
      <c r="K123" s="11">
        <f t="shared" ca="1" si="57"/>
        <v>2.5731029939009942E-2</v>
      </c>
      <c r="L123" s="11">
        <f t="shared" ca="1" si="57"/>
        <v>2.5731029939009938E-2</v>
      </c>
      <c r="M123" s="11" t="e">
        <f t="shared" si="57"/>
        <v>#DIV/0!</v>
      </c>
      <c r="N123" s="11" t="e">
        <f t="shared" si="57"/>
        <v>#DIV/0!</v>
      </c>
      <c r="O123" s="11" t="e">
        <f t="shared" si="57"/>
        <v>#DIV/0!</v>
      </c>
      <c r="P123" s="11" t="e">
        <f t="shared" si="57"/>
        <v>#DIV/0!</v>
      </c>
      <c r="Q123" s="11" t="e">
        <f t="shared" si="57"/>
        <v>#DIV/0!</v>
      </c>
      <c r="R123" s="11" t="e">
        <f t="shared" si="57"/>
        <v>#DIV/0!</v>
      </c>
      <c r="S123" s="11" t="e">
        <f t="shared" si="57"/>
        <v>#DIV/0!</v>
      </c>
      <c r="T123" s="11" t="e">
        <f t="shared" si="57"/>
        <v>#DIV/0!</v>
      </c>
      <c r="U123" s="11" t="e">
        <f t="shared" si="57"/>
        <v>#DIV/0!</v>
      </c>
      <c r="V123" s="11" t="e">
        <f t="shared" si="57"/>
        <v>#DIV/0!</v>
      </c>
      <c r="W123" s="11" t="e">
        <f t="shared" si="57"/>
        <v>#DIV/0!</v>
      </c>
      <c r="X123" s="11" t="e">
        <f t="shared" si="57"/>
        <v>#DIV/0!</v>
      </c>
      <c r="Y123" s="11" t="e">
        <f t="shared" si="57"/>
        <v>#DIV/0!</v>
      </c>
      <c r="Z123" s="11" t="e">
        <f t="shared" si="57"/>
        <v>#DIV/0!</v>
      </c>
      <c r="AA123" s="11" t="e">
        <f t="shared" si="57"/>
        <v>#DIV/0!</v>
      </c>
      <c r="AB123" s="11" t="e">
        <f t="shared" si="57"/>
        <v>#DIV/0!</v>
      </c>
      <c r="AC123" s="11" t="e">
        <f t="shared" si="57"/>
        <v>#DIV/0!</v>
      </c>
      <c r="AD123" s="11" t="e">
        <f t="shared" si="57"/>
        <v>#DIV/0!</v>
      </c>
      <c r="AE123" s="11" t="e">
        <f t="shared" si="57"/>
        <v>#DIV/0!</v>
      </c>
      <c r="AF123" s="11" t="e">
        <f t="shared" si="57"/>
        <v>#DIV/0!</v>
      </c>
      <c r="AH123" s="74">
        <f t="shared" ca="1" si="51"/>
        <v>2.5731029939009945E-2</v>
      </c>
    </row>
    <row r="124" spans="1:37" x14ac:dyDescent="0.45">
      <c r="A124" s="135"/>
      <c r="B124" t="s">
        <v>87</v>
      </c>
      <c r="C124" s="11">
        <f t="shared" ref="C124:AF124" ca="1" si="58">C76/C$80</f>
        <v>2.002081774229167</v>
      </c>
      <c r="D124" s="11">
        <f t="shared" ca="1" si="58"/>
        <v>2.0020817742291666</v>
      </c>
      <c r="E124" s="11">
        <f t="shared" ca="1" si="58"/>
        <v>2.002081774229167</v>
      </c>
      <c r="F124" s="11">
        <f t="shared" ca="1" si="58"/>
        <v>2.0020817742291666</v>
      </c>
      <c r="G124" s="11">
        <f t="shared" ca="1" si="58"/>
        <v>2.0020817742291666</v>
      </c>
      <c r="H124" s="11">
        <f t="shared" ca="1" si="58"/>
        <v>2.0020817742291666</v>
      </c>
      <c r="I124" s="11">
        <f t="shared" ca="1" si="58"/>
        <v>2.0020817742291666</v>
      </c>
      <c r="J124" s="11">
        <f t="shared" ca="1" si="58"/>
        <v>2.0020817742291666</v>
      </c>
      <c r="K124" s="11">
        <f t="shared" ca="1" si="58"/>
        <v>2.0020817742291666</v>
      </c>
      <c r="L124" s="11">
        <f t="shared" ca="1" si="58"/>
        <v>2.0020817742291666</v>
      </c>
      <c r="M124" s="11" t="e">
        <f t="shared" si="58"/>
        <v>#DIV/0!</v>
      </c>
      <c r="N124" s="11" t="e">
        <f t="shared" si="58"/>
        <v>#DIV/0!</v>
      </c>
      <c r="O124" s="11" t="e">
        <f t="shared" si="58"/>
        <v>#DIV/0!</v>
      </c>
      <c r="P124" s="11" t="e">
        <f t="shared" si="58"/>
        <v>#DIV/0!</v>
      </c>
      <c r="Q124" s="11" t="e">
        <f t="shared" si="58"/>
        <v>#DIV/0!</v>
      </c>
      <c r="R124" s="11" t="e">
        <f t="shared" si="58"/>
        <v>#DIV/0!</v>
      </c>
      <c r="S124" s="11" t="e">
        <f t="shared" si="58"/>
        <v>#DIV/0!</v>
      </c>
      <c r="T124" s="11" t="e">
        <f t="shared" si="58"/>
        <v>#DIV/0!</v>
      </c>
      <c r="U124" s="11" t="e">
        <f t="shared" si="58"/>
        <v>#DIV/0!</v>
      </c>
      <c r="V124" s="11" t="e">
        <f t="shared" si="58"/>
        <v>#DIV/0!</v>
      </c>
      <c r="W124" s="11" t="e">
        <f t="shared" si="58"/>
        <v>#DIV/0!</v>
      </c>
      <c r="X124" s="11" t="e">
        <f t="shared" si="58"/>
        <v>#DIV/0!</v>
      </c>
      <c r="Y124" s="11" t="e">
        <f t="shared" si="58"/>
        <v>#DIV/0!</v>
      </c>
      <c r="Z124" s="11" t="e">
        <f t="shared" si="58"/>
        <v>#DIV/0!</v>
      </c>
      <c r="AA124" s="11" t="e">
        <f t="shared" si="58"/>
        <v>#DIV/0!</v>
      </c>
      <c r="AB124" s="11" t="e">
        <f t="shared" si="58"/>
        <v>#DIV/0!</v>
      </c>
      <c r="AC124" s="11" t="e">
        <f t="shared" si="58"/>
        <v>#DIV/0!</v>
      </c>
      <c r="AD124" s="11" t="e">
        <f t="shared" si="58"/>
        <v>#DIV/0!</v>
      </c>
      <c r="AE124" s="11" t="e">
        <f t="shared" si="58"/>
        <v>#DIV/0!</v>
      </c>
      <c r="AF124" s="11" t="e">
        <f t="shared" si="58"/>
        <v>#DIV/0!</v>
      </c>
      <c r="AH124" s="74">
        <f t="shared" ca="1" si="51"/>
        <v>2.002081774229167</v>
      </c>
    </row>
    <row r="126" spans="1:37" ht="14.45" customHeight="1" x14ac:dyDescent="0.45">
      <c r="A126" s="135" t="s">
        <v>171</v>
      </c>
      <c r="B126" t="s">
        <v>84</v>
      </c>
      <c r="C126" s="13">
        <v>10000</v>
      </c>
      <c r="D126" s="13">
        <v>20000</v>
      </c>
      <c r="E126" s="13">
        <v>30000</v>
      </c>
      <c r="F126" s="13">
        <v>40000</v>
      </c>
      <c r="G126" s="13">
        <v>50000</v>
      </c>
      <c r="H126" s="13">
        <v>60000</v>
      </c>
      <c r="I126" s="13">
        <v>70000</v>
      </c>
      <c r="J126" s="13">
        <v>80000</v>
      </c>
      <c r="K126" s="13">
        <v>90000</v>
      </c>
      <c r="L126" s="13">
        <v>100000</v>
      </c>
      <c r="M126" s="13">
        <v>110000</v>
      </c>
      <c r="N126" s="13">
        <v>120000</v>
      </c>
      <c r="O126" s="13">
        <v>130000</v>
      </c>
      <c r="P126" s="13">
        <v>140000</v>
      </c>
      <c r="Q126" s="13">
        <v>150000</v>
      </c>
      <c r="R126" s="13">
        <v>160000</v>
      </c>
      <c r="S126" s="13">
        <v>170000</v>
      </c>
      <c r="T126" s="13">
        <v>180000</v>
      </c>
      <c r="U126" s="13">
        <v>190000</v>
      </c>
      <c r="V126" s="13">
        <v>200000</v>
      </c>
      <c r="W126" s="13">
        <v>210000</v>
      </c>
      <c r="X126" s="13">
        <v>220000</v>
      </c>
      <c r="Y126" s="13">
        <v>230000</v>
      </c>
      <c r="Z126" s="13">
        <v>240000</v>
      </c>
      <c r="AA126" s="13">
        <v>250000</v>
      </c>
      <c r="AB126" s="13">
        <v>260000</v>
      </c>
      <c r="AC126" s="13">
        <v>270000</v>
      </c>
      <c r="AD126" s="13">
        <v>280000</v>
      </c>
      <c r="AE126" s="13">
        <v>290000</v>
      </c>
      <c r="AF126" s="13">
        <v>300000</v>
      </c>
    </row>
    <row r="127" spans="1:37" x14ac:dyDescent="0.45">
      <c r="A127" s="135"/>
      <c r="B127" t="s">
        <v>0</v>
      </c>
      <c r="C127">
        <f ca="1">MATCH(C126,VMT!$B$5:$AF$5,1) - 0</f>
        <v>1</v>
      </c>
      <c r="D127">
        <f ca="1">MATCH(D126,VMT!$B$5:$AF$5,1)-1 + MIN((D126-OFFSET(VMT!$A$5,0,MATCH(D126,VMT!$B$5:$AF$5,1))) / (D126 - C126), 1)</f>
        <v>1</v>
      </c>
      <c r="E127">
        <f ca="1">MATCH(E126,VMT!$B$5:$AF$5,1)-1 + MIN((E126-OFFSET(VMT!$A$5,0,MATCH(E126,VMT!$B$5:$AF$5,1))) / (E126 - D126), 1)</f>
        <v>1</v>
      </c>
      <c r="F127">
        <f ca="1">MATCH(F126,VMT!$B$5:$AF$5,1)-1 + MIN((F126-OFFSET(VMT!$A$5,0,MATCH(F126,VMT!$B$5:$AF$5,1))) / (F126 - E126), 1)</f>
        <v>1</v>
      </c>
      <c r="G127">
        <f ca="1">MATCH(G126,VMT!$B$5:$AF$5,1)-1 + MIN((G126-OFFSET(VMT!$A$5,0,MATCH(G126,VMT!$B$5:$AF$5,1))) / (G126 - F126), 1)</f>
        <v>1</v>
      </c>
      <c r="H127">
        <f ca="1">MATCH(H126,VMT!$B$5:$AF$5,1)-1 + MIN((H126-OFFSET(VMT!$A$5,0,MATCH(H126,VMT!$B$5:$AF$5,1))) / (H126 - G126), 1)</f>
        <v>1</v>
      </c>
      <c r="I127">
        <f ca="1">MATCH(I126,VMT!$B$5:$AF$5,1)-1 + MIN((I126-OFFSET(VMT!$A$5,0,MATCH(I126,VMT!$B$5:$AF$5,1))) / (I126 - H126), 1)</f>
        <v>1</v>
      </c>
      <c r="J127">
        <f ca="1">MATCH(J126,VMT!$B$5:$AF$5,1)-1 + MIN((J126-OFFSET(VMT!$A$5,0,MATCH(J126,VMT!$B$5:$AF$5,1))) / (J126 - I126), 1)</f>
        <v>1.5960732620286304</v>
      </c>
      <c r="K127">
        <f ca="1">MATCH(K126,VMT!$B$5:$AF$5,1)-1 + MIN((K126-OFFSET(VMT!$A$5,0,MATCH(K126,VMT!$B$5:$AF$5,1))) / (K126 - J126), 1)</f>
        <v>2</v>
      </c>
      <c r="L127">
        <f ca="1">MATCH(L126,VMT!$B$5:$AF$5,1)-1 + MIN((L126-OFFSET(VMT!$A$5,0,MATCH(L126,VMT!$B$5:$AF$5,1))) / (L126 - K126), 1)</f>
        <v>2</v>
      </c>
      <c r="M127">
        <f ca="1">MATCH(M126,VMT!$B$5:$AF$5,1)-1 + MIN((M126-OFFSET(VMT!$A$5,0,MATCH(M126,VMT!$B$5:$AF$5,1))) / (M126 - L126), 1)</f>
        <v>2</v>
      </c>
      <c r="N127">
        <f ca="1">MATCH(N126,VMT!$B$5:$AF$5,1)-1 + MIN((N126-OFFSET(VMT!$A$5,0,MATCH(N126,VMT!$B$5:$AF$5,1))) / (N126 - M126), 1)</f>
        <v>2</v>
      </c>
      <c r="O127">
        <f ca="1">MATCH(O126,VMT!$B$5:$AF$5,1)-1 + MIN((O126-OFFSET(VMT!$A$5,0,MATCH(O126,VMT!$B$5:$AF$5,1))) / (O126 - N126), 1)</f>
        <v>2</v>
      </c>
      <c r="P127">
        <f ca="1">MATCH(P126,VMT!$B$5:$AF$5,1)-1 + MIN((P126-OFFSET(VMT!$A$5,0,MATCH(P126,VMT!$B$5:$AF$5,1))) / (P126 - O126), 1)</f>
        <v>2</v>
      </c>
      <c r="Q127">
        <f ca="1">MATCH(Q126,VMT!$B$5:$AF$5,1)-1 + MIN((Q126-OFFSET(VMT!$A$5,0,MATCH(Q126,VMT!$B$5:$AF$5,1))) / (Q126 - P126), 1)</f>
        <v>2.2481697120594384</v>
      </c>
      <c r="R127">
        <f ca="1">MATCH(R126,VMT!$B$5:$AF$5,1)-1 + MIN((R126-OFFSET(VMT!$A$5,0,MATCH(R126,VMT!$B$5:$AF$5,1))) / (R126 - Q126), 1)</f>
        <v>3</v>
      </c>
      <c r="S127">
        <f ca="1">MATCH(S126,VMT!$B$5:$AF$5,1)-1 + MIN((S126-OFFSET(VMT!$A$5,0,MATCH(S126,VMT!$B$5:$AF$5,1))) / (S126 - R126), 1)</f>
        <v>3</v>
      </c>
      <c r="T127">
        <f ca="1">MATCH(T126,VMT!$B$5:$AF$5,1)-1 + MIN((T126-OFFSET(VMT!$A$5,0,MATCH(T126,VMT!$B$5:$AF$5,1))) / (T126 - S126), 1)</f>
        <v>3</v>
      </c>
      <c r="U127">
        <f ca="1">MATCH(U126,VMT!$B$5:$AF$5,1)-1 + MIN((U126-OFFSET(VMT!$A$5,0,MATCH(U126,VMT!$B$5:$AF$5,1))) / (U126 - T126), 1)</f>
        <v>3</v>
      </c>
      <c r="V127">
        <f ca="1">MATCH(V126,VMT!$B$5:$AF$5,1)-1 + MIN((V126-OFFSET(VMT!$A$5,0,MATCH(V126,VMT!$B$5:$AF$5,1))) / (V126 - U126), 1)</f>
        <v>3</v>
      </c>
      <c r="W127">
        <f ca="1">MATCH(W126,VMT!$B$5:$AF$5,1)-1 + MIN((W126-OFFSET(VMT!$A$5,0,MATCH(W126,VMT!$B$5:$AF$5,1))) / (W126 - V126), 1)</f>
        <v>3</v>
      </c>
      <c r="X127">
        <f ca="1">MATCH(X126,VMT!$B$5:$AF$5,1)-1 + MIN((X126-OFFSET(VMT!$A$5,0,MATCH(X126,VMT!$B$5:$AF$5,1))) / (X126 - W126), 1)</f>
        <v>3.0925985714989075</v>
      </c>
      <c r="Y127">
        <f ca="1">MATCH(Y126,VMT!$B$5:$AF$5,1)-1 + MIN((Y126-OFFSET(VMT!$A$5,0,MATCH(Y126,VMT!$B$5:$AF$5,1))) / (Y126 - X126), 1)</f>
        <v>4</v>
      </c>
      <c r="Z127">
        <f ca="1">MATCH(Z126,VMT!$B$5:$AF$5,1)-1 + MIN((Z126-OFFSET(VMT!$A$5,0,MATCH(Z126,VMT!$B$5:$AF$5,1))) / (Z126 - Y126), 1)</f>
        <v>4</v>
      </c>
      <c r="AA127">
        <f ca="1">MATCH(AA126,VMT!$B$5:$AF$5,1)-1 + MIN((AA126-OFFSET(VMT!$A$5,0,MATCH(AA126,VMT!$B$5:$AF$5,1))) / (AA126 - Z126), 1)</f>
        <v>4</v>
      </c>
      <c r="AB127">
        <f ca="1">MATCH(AB126,VMT!$B$5:$AF$5,1)-1 + MIN((AB126-OFFSET(VMT!$A$5,0,MATCH(AB126,VMT!$B$5:$AF$5,1))) / (AB126 - AA126), 1)</f>
        <v>4</v>
      </c>
      <c r="AC127">
        <f ca="1">MATCH(AC126,VMT!$B$5:$AF$5,1)-1 + MIN((AC126-OFFSET(VMT!$A$5,0,MATCH(AC126,VMT!$B$5:$AF$5,1))) / (AC126 - AB126), 1)</f>
        <v>4</v>
      </c>
      <c r="AD127">
        <f ca="1">MATCH(AD126,VMT!$B$5:$AF$5,1)-1 + MIN((AD126-OFFSET(VMT!$A$5,0,MATCH(AD126,VMT!$B$5:$AF$5,1))) / (AD126 - AC126), 1)</f>
        <v>4</v>
      </c>
      <c r="AE127">
        <f ca="1">MATCH(AE126,VMT!$B$5:$AF$5,1)-1 + MIN((AE126-OFFSET(VMT!$A$5,0,MATCH(AE126,VMT!$B$5:$AF$5,1))) / (AE126 - AD126), 1)</f>
        <v>4.2450519417254657</v>
      </c>
      <c r="AF127">
        <f ca="1">MATCH(AF126,VMT!$B$5:$AF$5,1)-1 + MIN((AF126-OFFSET(VMT!$A$5,0,MATCH(AF126,VMT!$B$5:$AF$5,1))) / (AF126 - AE126), 1)</f>
        <v>5</v>
      </c>
    </row>
    <row r="128" spans="1:37" x14ac:dyDescent="0.45">
      <c r="A128" s="135"/>
      <c r="B128" t="s">
        <v>39</v>
      </c>
      <c r="C128">
        <f t="shared" ref="C128:AF128" ca="1" si="59">OFFSET($B105,0,  INT(C$127)) * (1-MOD(C$127,1)) + OFFSET($B105,0,  INT(C$127)+1) * (MOD(C$127,1))</f>
        <v>0.72288747331229386</v>
      </c>
      <c r="D128">
        <f t="shared" ca="1" si="59"/>
        <v>0.72288747331229386</v>
      </c>
      <c r="E128">
        <f t="shared" ca="1" si="59"/>
        <v>0.72288747331229386</v>
      </c>
      <c r="F128">
        <f t="shared" ca="1" si="59"/>
        <v>0.72288747331229386</v>
      </c>
      <c r="G128">
        <f t="shared" ca="1" si="59"/>
        <v>0.72288747331229386</v>
      </c>
      <c r="H128">
        <f t="shared" ca="1" si="59"/>
        <v>0.72288747331229386</v>
      </c>
      <c r="I128">
        <f t="shared" ca="1" si="59"/>
        <v>0.72288747331229386</v>
      </c>
      <c r="J128">
        <f t="shared" ca="1" si="59"/>
        <v>0.6884013047674733</v>
      </c>
      <c r="K128">
        <f t="shared" ca="1" si="59"/>
        <v>0.66503188618621978</v>
      </c>
      <c r="L128">
        <f t="shared" ca="1" si="59"/>
        <v>0.66503188618621978</v>
      </c>
      <c r="M128">
        <f t="shared" ca="1" si="59"/>
        <v>0.66503188618621978</v>
      </c>
      <c r="N128">
        <f t="shared" ca="1" si="59"/>
        <v>0.66503188618621978</v>
      </c>
      <c r="O128">
        <f t="shared" ca="1" si="59"/>
        <v>0.66503188618621978</v>
      </c>
      <c r="P128">
        <f t="shared" ca="1" si="59"/>
        <v>0.66503188618621978</v>
      </c>
      <c r="Q128">
        <f t="shared" ca="1" si="59"/>
        <v>0.65446130550295734</v>
      </c>
      <c r="R128">
        <f t="shared" ca="1" si="59"/>
        <v>0.62243772513593554</v>
      </c>
      <c r="S128">
        <f t="shared" ca="1" si="59"/>
        <v>0.62243772513593554</v>
      </c>
      <c r="T128">
        <f t="shared" ca="1" si="59"/>
        <v>0.62243772513593554</v>
      </c>
      <c r="U128">
        <f t="shared" ca="1" si="59"/>
        <v>0.62243772513593554</v>
      </c>
      <c r="V128">
        <f t="shared" ca="1" si="59"/>
        <v>0.62243772513593554</v>
      </c>
      <c r="W128">
        <f t="shared" ca="1" si="59"/>
        <v>0.62243772513593554</v>
      </c>
      <c r="X128">
        <f t="shared" ca="1" si="59"/>
        <v>0.61962705381541827</v>
      </c>
      <c r="Y128">
        <f t="shared" ca="1" si="59"/>
        <v>0.59208443485272177</v>
      </c>
      <c r="Z128">
        <f t="shared" ca="1" si="59"/>
        <v>0.59208443485272177</v>
      </c>
      <c r="AA128">
        <f t="shared" ca="1" si="59"/>
        <v>0.59208443485272177</v>
      </c>
      <c r="AB128">
        <f t="shared" ca="1" si="59"/>
        <v>0.59208443485272177</v>
      </c>
      <c r="AC128">
        <f t="shared" ca="1" si="59"/>
        <v>0.59208443485272177</v>
      </c>
      <c r="AD128">
        <f t="shared" ca="1" si="59"/>
        <v>0.59208443485272177</v>
      </c>
      <c r="AE128">
        <f t="shared" ca="1" si="59"/>
        <v>0.59351424671132946</v>
      </c>
      <c r="AF128">
        <f t="shared" ca="1" si="59"/>
        <v>0.5979191646187465</v>
      </c>
    </row>
    <row r="129" spans="1:32" x14ac:dyDescent="0.45">
      <c r="A129" s="135"/>
      <c r="B129" t="s">
        <v>4</v>
      </c>
      <c r="C129">
        <f t="shared" ref="C129:AF129" ca="1" si="60">OFFSET($B106,0,  INT(C$127)) * (1-MOD(C$127,1)) + OFFSET($B106,0,  INT(C$127)+1) * (MOD(C$127,1))</f>
        <v>0.21321241406836772</v>
      </c>
      <c r="D129">
        <f t="shared" ca="1" si="60"/>
        <v>0.21321241406836772</v>
      </c>
      <c r="E129">
        <f t="shared" ca="1" si="60"/>
        <v>0.21321241406836772</v>
      </c>
      <c r="F129">
        <f t="shared" ca="1" si="60"/>
        <v>0.21321241406836772</v>
      </c>
      <c r="G129">
        <f t="shared" ca="1" si="60"/>
        <v>0.21321241406836772</v>
      </c>
      <c r="H129">
        <f t="shared" ca="1" si="60"/>
        <v>0.21321241406836772</v>
      </c>
      <c r="I129">
        <f t="shared" ca="1" si="60"/>
        <v>0.21321241406836772</v>
      </c>
      <c r="J129">
        <f t="shared" ca="1" si="60"/>
        <v>0.18943135014347295</v>
      </c>
      <c r="K129">
        <f t="shared" ca="1" si="60"/>
        <v>0.17331620425690916</v>
      </c>
      <c r="L129">
        <f t="shared" ca="1" si="60"/>
        <v>0.17331620425690916</v>
      </c>
      <c r="M129">
        <f t="shared" ca="1" si="60"/>
        <v>0.17331620425690916</v>
      </c>
      <c r="N129">
        <f t="shared" ca="1" si="60"/>
        <v>0.17331620425690916</v>
      </c>
      <c r="O129">
        <f t="shared" ca="1" si="60"/>
        <v>0.17331620425690916</v>
      </c>
      <c r="P129">
        <f t="shared" ca="1" si="60"/>
        <v>0.17331620425690916</v>
      </c>
      <c r="Q129">
        <f t="shared" ca="1" si="60"/>
        <v>0.16345977349533314</v>
      </c>
      <c r="R129">
        <f t="shared" ca="1" si="60"/>
        <v>0.13359971073405993</v>
      </c>
      <c r="S129">
        <f t="shared" ca="1" si="60"/>
        <v>0.13359971073405993</v>
      </c>
      <c r="T129">
        <f t="shared" ca="1" si="60"/>
        <v>0.13359971073405993</v>
      </c>
      <c r="U129">
        <f t="shared" ca="1" si="60"/>
        <v>0.13359971073405993</v>
      </c>
      <c r="V129">
        <f t="shared" ca="1" si="60"/>
        <v>0.13359971073405993</v>
      </c>
      <c r="W129">
        <f t="shared" ca="1" si="60"/>
        <v>0.13359971073405993</v>
      </c>
      <c r="X129">
        <f t="shared" ca="1" si="60"/>
        <v>0.12968736308713433</v>
      </c>
      <c r="Y129">
        <f t="shared" ca="1" si="60"/>
        <v>9.134908436266112E-2</v>
      </c>
      <c r="Z129">
        <f t="shared" ca="1" si="60"/>
        <v>9.134908436266112E-2</v>
      </c>
      <c r="AA129">
        <f t="shared" ca="1" si="60"/>
        <v>9.134908436266112E-2</v>
      </c>
      <c r="AB129">
        <f t="shared" ca="1" si="60"/>
        <v>9.134908436266112E-2</v>
      </c>
      <c r="AC129">
        <f t="shared" ca="1" si="60"/>
        <v>9.134908436266112E-2</v>
      </c>
      <c r="AD129">
        <f t="shared" ca="1" si="60"/>
        <v>9.134908436266112E-2</v>
      </c>
      <c r="AE129">
        <f t="shared" ca="1" si="60"/>
        <v>8.0197662770924966E-2</v>
      </c>
      <c r="AF129">
        <f t="shared" ca="1" si="60"/>
        <v>4.584272553433888E-2</v>
      </c>
    </row>
    <row r="130" spans="1:32" x14ac:dyDescent="0.45">
      <c r="A130" s="135"/>
      <c r="B130" t="s">
        <v>54</v>
      </c>
      <c r="C130">
        <f t="shared" ref="C130:AF130" ca="1" si="61">OFFSET($B107,0,  INT(C$127)) * (1-MOD(C$127,1)) + OFFSET($B107,0,  INT(C$127)+1) * (MOD(C$127,1))</f>
        <v>0.15620697056069116</v>
      </c>
      <c r="D130">
        <f t="shared" ca="1" si="61"/>
        <v>0.15620697056069116</v>
      </c>
      <c r="E130">
        <f t="shared" ca="1" si="61"/>
        <v>0.15620697056069116</v>
      </c>
      <c r="F130">
        <f t="shared" ca="1" si="61"/>
        <v>0.15620697056069116</v>
      </c>
      <c r="G130">
        <f t="shared" ca="1" si="61"/>
        <v>0.15620697056069116</v>
      </c>
      <c r="H130">
        <f t="shared" ca="1" si="61"/>
        <v>0.15620697056069116</v>
      </c>
      <c r="I130">
        <f t="shared" ca="1" si="61"/>
        <v>0.15620697056069116</v>
      </c>
      <c r="J130">
        <f t="shared" ca="1" si="61"/>
        <v>0.15620697056069116</v>
      </c>
      <c r="K130">
        <f t="shared" ca="1" si="61"/>
        <v>0.15620697056069116</v>
      </c>
      <c r="L130">
        <f t="shared" ca="1" si="61"/>
        <v>0.15620697056069116</v>
      </c>
      <c r="M130">
        <f t="shared" ca="1" si="61"/>
        <v>0.15620697056069116</v>
      </c>
      <c r="N130">
        <f t="shared" ca="1" si="61"/>
        <v>0.15620697056069116</v>
      </c>
      <c r="O130">
        <f t="shared" ca="1" si="61"/>
        <v>0.15620697056069116</v>
      </c>
      <c r="P130">
        <f t="shared" ca="1" si="61"/>
        <v>0.15620697056069116</v>
      </c>
      <c r="Q130">
        <f t="shared" ca="1" si="61"/>
        <v>0.15620697056069116</v>
      </c>
      <c r="R130">
        <f t="shared" ca="1" si="61"/>
        <v>0.15620697056069116</v>
      </c>
      <c r="S130">
        <f t="shared" ca="1" si="61"/>
        <v>0.15620697056069116</v>
      </c>
      <c r="T130">
        <f t="shared" ca="1" si="61"/>
        <v>0.15620697056069116</v>
      </c>
      <c r="U130">
        <f t="shared" ca="1" si="61"/>
        <v>0.15620697056069116</v>
      </c>
      <c r="V130">
        <f t="shared" ca="1" si="61"/>
        <v>0.15620697056069116</v>
      </c>
      <c r="W130">
        <f t="shared" ca="1" si="61"/>
        <v>0.15620697056069116</v>
      </c>
      <c r="X130">
        <f t="shared" ca="1" si="61"/>
        <v>0.15620697056069116</v>
      </c>
      <c r="Y130">
        <f t="shared" ca="1" si="61"/>
        <v>0.15620697056069116</v>
      </c>
      <c r="Z130">
        <f t="shared" ca="1" si="61"/>
        <v>0.15620697056069116</v>
      </c>
      <c r="AA130">
        <f t="shared" ca="1" si="61"/>
        <v>0.15620697056069116</v>
      </c>
      <c r="AB130">
        <f t="shared" ca="1" si="61"/>
        <v>0.15620697056069116</v>
      </c>
      <c r="AC130">
        <f t="shared" ca="1" si="61"/>
        <v>0.15620697056069116</v>
      </c>
      <c r="AD130">
        <f t="shared" ca="1" si="61"/>
        <v>0.15620697056069116</v>
      </c>
      <c r="AE130">
        <f t="shared" ca="1" si="61"/>
        <v>0.15620697056069116</v>
      </c>
      <c r="AF130">
        <f t="shared" ca="1" si="61"/>
        <v>0.15620697056069116</v>
      </c>
    </row>
    <row r="131" spans="1:32" x14ac:dyDescent="0.45">
      <c r="A131" s="135"/>
      <c r="B131" t="s">
        <v>25</v>
      </c>
      <c r="C131">
        <f t="shared" ref="C131:AF131" ca="1" si="62">OFFSET($B108,0,  INT(C$127)) * (1-MOD(C$127,1)) + OFFSET($B108,0,  INT(C$127)+1) * (MOD(C$127,1))</f>
        <v>0.47272212757726156</v>
      </c>
      <c r="D131">
        <f t="shared" ca="1" si="62"/>
        <v>0.47272212757726156</v>
      </c>
      <c r="E131">
        <f t="shared" ca="1" si="62"/>
        <v>0.47272212757726156</v>
      </c>
      <c r="F131">
        <f t="shared" ca="1" si="62"/>
        <v>0.47272212757726156</v>
      </c>
      <c r="G131">
        <f t="shared" ca="1" si="62"/>
        <v>0.47272212757726156</v>
      </c>
      <c r="H131">
        <f t="shared" ca="1" si="62"/>
        <v>0.47272212757726156</v>
      </c>
      <c r="I131">
        <f t="shared" ca="1" si="62"/>
        <v>0.47272212757726156</v>
      </c>
      <c r="J131">
        <f t="shared" ca="1" si="62"/>
        <v>0.47487050185754831</v>
      </c>
      <c r="K131">
        <f t="shared" ca="1" si="62"/>
        <v>0.4763263393699112</v>
      </c>
      <c r="L131">
        <f t="shared" ca="1" si="62"/>
        <v>0.4763263393699112</v>
      </c>
      <c r="M131">
        <f t="shared" ca="1" si="62"/>
        <v>0.4763263393699112</v>
      </c>
      <c r="N131">
        <f t="shared" ca="1" si="62"/>
        <v>0.4763263393699112</v>
      </c>
      <c r="O131">
        <f t="shared" ca="1" si="62"/>
        <v>0.4763263393699112</v>
      </c>
      <c r="P131">
        <f t="shared" ca="1" si="62"/>
        <v>0.4763263393699112</v>
      </c>
      <c r="Q131">
        <f t="shared" ca="1" si="62"/>
        <v>0.47950366365709229</v>
      </c>
      <c r="R131">
        <f t="shared" ca="1" si="62"/>
        <v>0.48912936944483071</v>
      </c>
      <c r="S131">
        <f t="shared" ca="1" si="62"/>
        <v>0.48912936944483071</v>
      </c>
      <c r="T131">
        <f t="shared" ca="1" si="62"/>
        <v>0.48912936944483071</v>
      </c>
      <c r="U131">
        <f t="shared" ca="1" si="62"/>
        <v>0.48912936944483071</v>
      </c>
      <c r="V131">
        <f t="shared" ca="1" si="62"/>
        <v>0.48912936944483071</v>
      </c>
      <c r="W131">
        <f t="shared" ca="1" si="62"/>
        <v>0.48912936944483071</v>
      </c>
      <c r="X131">
        <f t="shared" ca="1" si="62"/>
        <v>0.49116677884520382</v>
      </c>
      <c r="Y131">
        <f t="shared" ca="1" si="62"/>
        <v>0.51113197021278289</v>
      </c>
      <c r="Z131">
        <f t="shared" ca="1" si="62"/>
        <v>0.51113197021278289</v>
      </c>
      <c r="AA131">
        <f t="shared" ca="1" si="62"/>
        <v>0.51113197021278289</v>
      </c>
      <c r="AB131">
        <f t="shared" ca="1" si="62"/>
        <v>0.51113197021278289</v>
      </c>
      <c r="AC131">
        <f t="shared" ca="1" si="62"/>
        <v>0.51113197021278289</v>
      </c>
      <c r="AD131">
        <f t="shared" ca="1" si="62"/>
        <v>0.51113197021278289</v>
      </c>
      <c r="AE131">
        <f t="shared" ca="1" si="62"/>
        <v>0.52550912468341116</v>
      </c>
      <c r="AF131">
        <f t="shared" ca="1" si="62"/>
        <v>0.56980179494216654</v>
      </c>
    </row>
    <row r="132" spans="1:32" x14ac:dyDescent="0.45">
      <c r="A132" s="135"/>
      <c r="B132" t="s">
        <v>41</v>
      </c>
      <c r="C132">
        <f t="shared" ref="C132:AF132" ca="1" si="63">OFFSET($B109,0,  INT(C$127)) * (1-MOD(C$127,1)) + OFFSET($B109,0,  INT(C$127)+1) * (MOD(C$127,1))</f>
        <v>1.4095140793188059</v>
      </c>
      <c r="D132">
        <f t="shared" ca="1" si="63"/>
        <v>1.4095140793188059</v>
      </c>
      <c r="E132">
        <f t="shared" ca="1" si="63"/>
        <v>1.4095140793188059</v>
      </c>
      <c r="F132">
        <f t="shared" ca="1" si="63"/>
        <v>1.4095140793188059</v>
      </c>
      <c r="G132">
        <f t="shared" ca="1" si="63"/>
        <v>1.4095140793188059</v>
      </c>
      <c r="H132">
        <f t="shared" ca="1" si="63"/>
        <v>1.4095140793188059</v>
      </c>
      <c r="I132">
        <f t="shared" ca="1" si="63"/>
        <v>1.4095140793188059</v>
      </c>
      <c r="J132">
        <f t="shared" ca="1" si="63"/>
        <v>0.57114132240303328</v>
      </c>
      <c r="K132">
        <f t="shared" ca="1" si="63"/>
        <v>3.0212699240034367E-3</v>
      </c>
      <c r="L132">
        <f t="shared" ca="1" si="63"/>
        <v>3.0212699240034367E-3</v>
      </c>
      <c r="M132">
        <f t="shared" ca="1" si="63"/>
        <v>3.0212699240034367E-3</v>
      </c>
      <c r="N132">
        <f t="shared" ca="1" si="63"/>
        <v>3.0212699240034367E-3</v>
      </c>
      <c r="O132">
        <f t="shared" ca="1" si="63"/>
        <v>3.0212699240034367E-3</v>
      </c>
      <c r="P132">
        <f t="shared" ca="1" si="63"/>
        <v>3.0212699240034367E-3</v>
      </c>
      <c r="Q132">
        <f t="shared" ca="1" si="63"/>
        <v>3.0414232380535566E-3</v>
      </c>
      <c r="R132">
        <f t="shared" ca="1" si="63"/>
        <v>3.1024777147643547E-3</v>
      </c>
      <c r="S132">
        <f t="shared" ca="1" si="63"/>
        <v>3.1024777147643547E-3</v>
      </c>
      <c r="T132">
        <f t="shared" ca="1" si="63"/>
        <v>3.1024777147643547E-3</v>
      </c>
      <c r="U132">
        <f t="shared" ca="1" si="63"/>
        <v>3.1024777147643547E-3</v>
      </c>
      <c r="V132">
        <f t="shared" ca="1" si="63"/>
        <v>3.1024777147643547E-3</v>
      </c>
      <c r="W132">
        <f t="shared" ca="1" si="63"/>
        <v>3.1024777147643547E-3</v>
      </c>
      <c r="X132">
        <f t="shared" ca="1" si="63"/>
        <v>3.1154007115324358E-3</v>
      </c>
      <c r="Y132">
        <f t="shared" ca="1" si="63"/>
        <v>3.2420370682067945E-3</v>
      </c>
      <c r="Z132">
        <f t="shared" ca="1" si="63"/>
        <v>3.2420370682067945E-3</v>
      </c>
      <c r="AA132">
        <f t="shared" ca="1" si="63"/>
        <v>3.2420370682067945E-3</v>
      </c>
      <c r="AB132">
        <f t="shared" ca="1" si="63"/>
        <v>3.2420370682067945E-3</v>
      </c>
      <c r="AC132">
        <f t="shared" ca="1" si="63"/>
        <v>3.2420370682067945E-3</v>
      </c>
      <c r="AD132">
        <f t="shared" ca="1" si="63"/>
        <v>3.2420370682067945E-3</v>
      </c>
      <c r="AE132">
        <f t="shared" ca="1" si="63"/>
        <v>3.3332293051347786E-3</v>
      </c>
      <c r="AF132">
        <f t="shared" ca="1" si="63"/>
        <v>3.6141713850617418E-3</v>
      </c>
    </row>
    <row r="133" spans="1:32" x14ac:dyDescent="0.45">
      <c r="A133" s="135"/>
      <c r="B133" t="s">
        <v>23</v>
      </c>
      <c r="C133">
        <f t="shared" ref="C133:AF133" ca="1" si="64">OFFSET($B110,0,  INT(C$127)) * (1-MOD(C$127,1)) + OFFSET($B110,0,  INT(C$127)+1) * (MOD(C$127,1))</f>
        <v>0.37386016641010023</v>
      </c>
      <c r="D133">
        <f t="shared" ca="1" si="64"/>
        <v>0.37386016641010023</v>
      </c>
      <c r="E133">
        <f t="shared" ca="1" si="64"/>
        <v>0.37386016641010023</v>
      </c>
      <c r="F133">
        <f t="shared" ca="1" si="64"/>
        <v>0.37386016641010023</v>
      </c>
      <c r="G133">
        <f t="shared" ca="1" si="64"/>
        <v>0.37386016641010023</v>
      </c>
      <c r="H133">
        <f t="shared" ca="1" si="64"/>
        <v>0.37386016641010023</v>
      </c>
      <c r="I133">
        <f t="shared" ca="1" si="64"/>
        <v>0.37386016641010023</v>
      </c>
      <c r="J133">
        <f t="shared" ca="1" si="64"/>
        <v>0.39649580317329491</v>
      </c>
      <c r="K133">
        <f t="shared" ca="1" si="64"/>
        <v>0.41183475477891629</v>
      </c>
      <c r="L133">
        <f t="shared" ca="1" si="64"/>
        <v>0.41183475477891629</v>
      </c>
      <c r="M133">
        <f t="shared" ca="1" si="64"/>
        <v>0.41183475477891629</v>
      </c>
      <c r="N133">
        <f t="shared" ca="1" si="64"/>
        <v>0.41183475477891629</v>
      </c>
      <c r="O133">
        <f t="shared" ca="1" si="64"/>
        <v>0.41183475477891629</v>
      </c>
      <c r="P133">
        <f t="shared" ca="1" si="64"/>
        <v>0.41183475477891629</v>
      </c>
      <c r="Q133">
        <f t="shared" ca="1" si="64"/>
        <v>0.42094503185575965</v>
      </c>
      <c r="R133">
        <f t="shared" ca="1" si="64"/>
        <v>0.44854462159240305</v>
      </c>
      <c r="S133">
        <f t="shared" ca="1" si="64"/>
        <v>0.44854462159240305</v>
      </c>
      <c r="T133">
        <f t="shared" ca="1" si="64"/>
        <v>0.44854462159240305</v>
      </c>
      <c r="U133">
        <f t="shared" ca="1" si="64"/>
        <v>0.44854462159240305</v>
      </c>
      <c r="V133">
        <f t="shared" ca="1" si="64"/>
        <v>0.44854462159240305</v>
      </c>
      <c r="W133">
        <f t="shared" ca="1" si="64"/>
        <v>0.44854462159240305</v>
      </c>
      <c r="X133">
        <f t="shared" ca="1" si="64"/>
        <v>0.45902751423251303</v>
      </c>
      <c r="Y133">
        <f t="shared" ca="1" si="64"/>
        <v>0.56175255202180152</v>
      </c>
      <c r="Z133">
        <f t="shared" ca="1" si="64"/>
        <v>0.56175255202180152</v>
      </c>
      <c r="AA133">
        <f t="shared" ca="1" si="64"/>
        <v>0.56175255202180152</v>
      </c>
      <c r="AB133">
        <f t="shared" ca="1" si="64"/>
        <v>0.56175255202180152</v>
      </c>
      <c r="AC133">
        <f t="shared" ca="1" si="64"/>
        <v>0.56175255202180152</v>
      </c>
      <c r="AD133">
        <f t="shared" ca="1" si="64"/>
        <v>0.56175255202180152</v>
      </c>
      <c r="AE133">
        <f t="shared" ca="1" si="64"/>
        <v>0.58508620331698646</v>
      </c>
      <c r="AF133">
        <f t="shared" ca="1" si="64"/>
        <v>0.65697175792112017</v>
      </c>
    </row>
    <row r="134" spans="1:32" x14ac:dyDescent="0.45">
      <c r="A134" s="135"/>
      <c r="B134" t="s">
        <v>40</v>
      </c>
      <c r="C134">
        <f t="shared" ref="C134:AF134" ca="1" si="65">OFFSET($B111,0,  INT(C$127)) * (1-MOD(C$127,1)) + OFFSET($B111,0,  INT(C$127)+1) * (MOD(C$127,1))</f>
        <v>0</v>
      </c>
      <c r="D134">
        <f t="shared" ca="1" si="65"/>
        <v>0</v>
      </c>
      <c r="E134">
        <f t="shared" ca="1" si="65"/>
        <v>0</v>
      </c>
      <c r="F134">
        <f t="shared" ca="1" si="65"/>
        <v>0</v>
      </c>
      <c r="G134">
        <f t="shared" ca="1" si="65"/>
        <v>0</v>
      </c>
      <c r="H134">
        <f t="shared" ca="1" si="65"/>
        <v>0</v>
      </c>
      <c r="I134">
        <f t="shared" ca="1" si="65"/>
        <v>0</v>
      </c>
      <c r="J134">
        <f t="shared" ca="1" si="65"/>
        <v>0</v>
      </c>
      <c r="K134">
        <f t="shared" ca="1" si="65"/>
        <v>0</v>
      </c>
      <c r="L134">
        <f t="shared" ca="1" si="65"/>
        <v>0</v>
      </c>
      <c r="M134">
        <f t="shared" ca="1" si="65"/>
        <v>0</v>
      </c>
      <c r="N134">
        <f t="shared" ca="1" si="65"/>
        <v>0</v>
      </c>
      <c r="O134">
        <f t="shared" ca="1" si="65"/>
        <v>0</v>
      </c>
      <c r="P134">
        <f t="shared" ca="1" si="65"/>
        <v>0</v>
      </c>
      <c r="Q134">
        <f t="shared" ca="1" si="65"/>
        <v>0</v>
      </c>
      <c r="R134">
        <f t="shared" ca="1" si="65"/>
        <v>0</v>
      </c>
      <c r="S134">
        <f t="shared" ca="1" si="65"/>
        <v>0</v>
      </c>
      <c r="T134">
        <f t="shared" ca="1" si="65"/>
        <v>0</v>
      </c>
      <c r="U134">
        <f t="shared" ca="1" si="65"/>
        <v>0</v>
      </c>
      <c r="V134">
        <f t="shared" ca="1" si="65"/>
        <v>0</v>
      </c>
      <c r="W134">
        <f t="shared" ca="1" si="65"/>
        <v>0</v>
      </c>
      <c r="X134">
        <f t="shared" ca="1" si="65"/>
        <v>0</v>
      </c>
      <c r="Y134">
        <f t="shared" ca="1" si="65"/>
        <v>0</v>
      </c>
      <c r="Z134">
        <f t="shared" ca="1" si="65"/>
        <v>0</v>
      </c>
      <c r="AA134">
        <f t="shared" ca="1" si="65"/>
        <v>0</v>
      </c>
      <c r="AB134">
        <f t="shared" ca="1" si="65"/>
        <v>0</v>
      </c>
      <c r="AC134">
        <f t="shared" ca="1" si="65"/>
        <v>0</v>
      </c>
      <c r="AD134">
        <f t="shared" ca="1" si="65"/>
        <v>0</v>
      </c>
      <c r="AE134">
        <f t="shared" ca="1" si="65"/>
        <v>0</v>
      </c>
      <c r="AF134">
        <f t="shared" ca="1" si="65"/>
        <v>0</v>
      </c>
    </row>
    <row r="135" spans="1:32" x14ac:dyDescent="0.45">
      <c r="A135" s="135"/>
      <c r="B135" t="s">
        <v>85</v>
      </c>
      <c r="C135">
        <f t="shared" ref="C135:AF135" ca="1" si="66">OFFSET($B112,0,  INT(C$127)) * (1-MOD(C$127,1)) + OFFSET($B112,0,  INT(C$127)+1) * (MOD(C$127,1))</f>
        <v>2.5731029939009945E-2</v>
      </c>
      <c r="D135">
        <f t="shared" ca="1" si="66"/>
        <v>2.5731029939009945E-2</v>
      </c>
      <c r="E135">
        <f t="shared" ca="1" si="66"/>
        <v>2.5731029939009945E-2</v>
      </c>
      <c r="F135">
        <f t="shared" ca="1" si="66"/>
        <v>2.5731029939009945E-2</v>
      </c>
      <c r="G135">
        <f t="shared" ca="1" si="66"/>
        <v>2.5731029939009945E-2</v>
      </c>
      <c r="H135">
        <f t="shared" ca="1" si="66"/>
        <v>2.5731029939009945E-2</v>
      </c>
      <c r="I135">
        <f t="shared" ca="1" si="66"/>
        <v>2.5731029939009945E-2</v>
      </c>
      <c r="J135">
        <f t="shared" ca="1" si="66"/>
        <v>2.5731029939009942E-2</v>
      </c>
      <c r="K135">
        <f t="shared" ca="1" si="66"/>
        <v>2.5731029939009938E-2</v>
      </c>
      <c r="L135">
        <f t="shared" ca="1" si="66"/>
        <v>2.5731029939009938E-2</v>
      </c>
      <c r="M135">
        <f t="shared" ca="1" si="66"/>
        <v>2.5731029939009938E-2</v>
      </c>
      <c r="N135">
        <f t="shared" ca="1" si="66"/>
        <v>2.5731029939009938E-2</v>
      </c>
      <c r="O135">
        <f t="shared" ca="1" si="66"/>
        <v>2.5731029939009938E-2</v>
      </c>
      <c r="P135">
        <f t="shared" ca="1" si="66"/>
        <v>2.5731029939009938E-2</v>
      </c>
      <c r="Q135">
        <f t="shared" ca="1" si="66"/>
        <v>2.5731029939009942E-2</v>
      </c>
      <c r="R135">
        <f t="shared" ca="1" si="66"/>
        <v>2.5731029939009942E-2</v>
      </c>
      <c r="S135">
        <f t="shared" ca="1" si="66"/>
        <v>2.5731029939009942E-2</v>
      </c>
      <c r="T135">
        <f t="shared" ca="1" si="66"/>
        <v>2.5731029939009942E-2</v>
      </c>
      <c r="U135">
        <f t="shared" ca="1" si="66"/>
        <v>2.5731029939009942E-2</v>
      </c>
      <c r="V135">
        <f t="shared" ca="1" si="66"/>
        <v>2.5731029939009942E-2</v>
      </c>
      <c r="W135">
        <f t="shared" ca="1" si="66"/>
        <v>2.5731029939009942E-2</v>
      </c>
      <c r="X135">
        <f t="shared" ca="1" si="66"/>
        <v>2.5731029939009942E-2</v>
      </c>
      <c r="Y135">
        <f t="shared" ca="1" si="66"/>
        <v>2.5731029939009942E-2</v>
      </c>
      <c r="Z135">
        <f t="shared" ca="1" si="66"/>
        <v>2.5731029939009942E-2</v>
      </c>
      <c r="AA135">
        <f t="shared" ca="1" si="66"/>
        <v>2.5731029939009942E-2</v>
      </c>
      <c r="AB135">
        <f t="shared" ca="1" si="66"/>
        <v>2.5731029939009942E-2</v>
      </c>
      <c r="AC135">
        <f t="shared" ca="1" si="66"/>
        <v>2.5731029939009942E-2</v>
      </c>
      <c r="AD135">
        <f t="shared" ca="1" si="66"/>
        <v>2.5731029939009942E-2</v>
      </c>
      <c r="AE135">
        <f t="shared" ca="1" si="66"/>
        <v>2.5731029939009942E-2</v>
      </c>
      <c r="AF135">
        <f t="shared" ca="1" si="66"/>
        <v>2.5731029939009942E-2</v>
      </c>
    </row>
    <row r="136" spans="1:32" x14ac:dyDescent="0.45">
      <c r="A136" s="135"/>
      <c r="B136" t="s">
        <v>87</v>
      </c>
      <c r="C136">
        <f t="shared" ref="C136:AF136" ca="1" si="67">OFFSET($B113,0,  INT(C$127)) * (1-MOD(C$127,1)) + OFFSET($B113,0,  INT(C$127)+1) * (MOD(C$127,1))</f>
        <v>2.002081774229167</v>
      </c>
      <c r="D136">
        <f t="shared" ca="1" si="67"/>
        <v>2.002081774229167</v>
      </c>
      <c r="E136">
        <f t="shared" ca="1" si="67"/>
        <v>2.002081774229167</v>
      </c>
      <c r="F136">
        <f t="shared" ca="1" si="67"/>
        <v>2.002081774229167</v>
      </c>
      <c r="G136">
        <f t="shared" ca="1" si="67"/>
        <v>2.002081774229167</v>
      </c>
      <c r="H136">
        <f t="shared" ca="1" si="67"/>
        <v>2.002081774229167</v>
      </c>
      <c r="I136">
        <f t="shared" ca="1" si="67"/>
        <v>2.002081774229167</v>
      </c>
      <c r="J136">
        <f t="shared" ca="1" si="67"/>
        <v>2.0020817742291666</v>
      </c>
      <c r="K136">
        <f t="shared" ca="1" si="67"/>
        <v>2.0020817742291666</v>
      </c>
      <c r="L136">
        <f t="shared" ca="1" si="67"/>
        <v>2.0020817742291666</v>
      </c>
      <c r="M136">
        <f t="shared" ca="1" si="67"/>
        <v>2.0020817742291666</v>
      </c>
      <c r="N136">
        <f t="shared" ca="1" si="67"/>
        <v>2.0020817742291666</v>
      </c>
      <c r="O136">
        <f t="shared" ca="1" si="67"/>
        <v>2.0020817742291666</v>
      </c>
      <c r="P136">
        <f t="shared" ca="1" si="67"/>
        <v>2.0020817742291666</v>
      </c>
      <c r="Q136">
        <f t="shared" ca="1" si="67"/>
        <v>2.0020817742291666</v>
      </c>
      <c r="R136">
        <f t="shared" ca="1" si="67"/>
        <v>2.002081774229167</v>
      </c>
      <c r="S136">
        <f t="shared" ca="1" si="67"/>
        <v>2.002081774229167</v>
      </c>
      <c r="T136">
        <f t="shared" ca="1" si="67"/>
        <v>2.002081774229167</v>
      </c>
      <c r="U136">
        <f t="shared" ca="1" si="67"/>
        <v>2.002081774229167</v>
      </c>
      <c r="V136">
        <f t="shared" ca="1" si="67"/>
        <v>2.002081774229167</v>
      </c>
      <c r="W136">
        <f t="shared" ca="1" si="67"/>
        <v>2.002081774229167</v>
      </c>
      <c r="X136">
        <f t="shared" ca="1" si="67"/>
        <v>2.002081774229167</v>
      </c>
      <c r="Y136">
        <f t="shared" ca="1" si="67"/>
        <v>2.0020817742291666</v>
      </c>
      <c r="Z136">
        <f t="shared" ca="1" si="67"/>
        <v>2.0020817742291666</v>
      </c>
      <c r="AA136">
        <f t="shared" ca="1" si="67"/>
        <v>2.0020817742291666</v>
      </c>
      <c r="AB136">
        <f t="shared" ca="1" si="67"/>
        <v>2.0020817742291666</v>
      </c>
      <c r="AC136">
        <f t="shared" ca="1" si="67"/>
        <v>2.0020817742291666</v>
      </c>
      <c r="AD136">
        <f t="shared" ca="1" si="67"/>
        <v>2.0020817742291666</v>
      </c>
      <c r="AE136">
        <f t="shared" ca="1" si="67"/>
        <v>2.0020817742291666</v>
      </c>
      <c r="AF136">
        <f t="shared" ca="1" si="67"/>
        <v>2.0020817742291666</v>
      </c>
    </row>
  </sheetData>
  <sortState xmlns:xlrd2="http://schemas.microsoft.com/office/spreadsheetml/2017/richdata2" ref="Z10:AC17">
    <sortCondition ref="AB10:AB17"/>
  </sortState>
  <mergeCells count="9">
    <mergeCell ref="A115:A124"/>
    <mergeCell ref="A67:A76"/>
    <mergeCell ref="A126:A136"/>
    <mergeCell ref="A93:A102"/>
    <mergeCell ref="A34:A43"/>
    <mergeCell ref="A104:A113"/>
    <mergeCell ref="A56:A65"/>
    <mergeCell ref="A45:A54"/>
    <mergeCell ref="A82:A91"/>
  </mergeCells>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List Box 3">
              <controlPr defaultSize="0" autoLine="0" autoPict="0">
                <anchor moveWithCells="1">
                  <from>
                    <xdr:col>1</xdr:col>
                    <xdr:colOff>9525</xdr:colOff>
                    <xdr:row>2</xdr:row>
                    <xdr:rowOff>28575</xdr:rowOff>
                  </from>
                  <to>
                    <xdr:col>2</xdr:col>
                    <xdr:colOff>447675</xdr:colOff>
                    <xdr:row>15</xdr:row>
                    <xdr:rowOff>142875</xdr:rowOff>
                  </to>
                </anchor>
              </controlPr>
            </control>
          </mc:Choice>
        </mc:AlternateContent>
        <mc:AlternateContent xmlns:mc="http://schemas.openxmlformats.org/markup-compatibility/2006">
          <mc:Choice Requires="x14">
            <control shapeId="1033" r:id="rId5" name="List Box 9">
              <controlPr defaultSize="0" autoLine="0" autoPict="0">
                <anchor moveWithCells="1">
                  <from>
                    <xdr:col>1</xdr:col>
                    <xdr:colOff>9525</xdr:colOff>
                    <xdr:row>19</xdr:row>
                    <xdr:rowOff>28575</xdr:rowOff>
                  </from>
                  <to>
                    <xdr:col>2</xdr:col>
                    <xdr:colOff>447675</xdr:colOff>
                    <xdr:row>23</xdr:row>
                    <xdr:rowOff>180975</xdr:rowOff>
                  </to>
                </anchor>
              </controlPr>
            </control>
          </mc:Choice>
        </mc:AlternateContent>
        <mc:AlternateContent xmlns:mc="http://schemas.openxmlformats.org/markup-compatibility/2006">
          <mc:Choice Requires="x14">
            <control shapeId="1035" r:id="rId6" name="List Box 11">
              <controlPr defaultSize="0" autoLine="0" autoPict="0">
                <anchor moveWithCells="1">
                  <from>
                    <xdr:col>1</xdr:col>
                    <xdr:colOff>9525</xdr:colOff>
                    <xdr:row>26</xdr:row>
                    <xdr:rowOff>9525</xdr:rowOff>
                  </from>
                  <to>
                    <xdr:col>2</xdr:col>
                    <xdr:colOff>428625</xdr:colOff>
                    <xdr:row>30</xdr:row>
                    <xdr:rowOff>142875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 id="{27BD03BA-DA73-4E02-88ED-66A84B35972B}">
            <xm:f>_xlfn.IFNA(MATCH($B$27,Lists!$H$18:$H$22,0)-MATCH($B$27,Lists!$H$18:$H$22,0), TRUE)</xm:f>
            <x14:dxf>
              <fill>
                <patternFill>
                  <bgColor rgb="FFFF0000"/>
                </patternFill>
              </fill>
            </x14:dxf>
          </x14:cfRule>
          <xm:sqref>B26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Lists!$T$6:$T$22</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27"/>
  <sheetViews>
    <sheetView topLeftCell="A7" workbookViewId="0">
      <selection activeCell="C19" sqref="C19"/>
    </sheetView>
  </sheetViews>
  <sheetFormatPr defaultRowHeight="14.25" x14ac:dyDescent="0.45"/>
  <sheetData>
    <row r="1" spans="1:32" x14ac:dyDescent="0.45">
      <c r="A1" t="s">
        <v>9</v>
      </c>
      <c r="B1" s="6" t="str">
        <f>Dashboard!B20</f>
        <v>BEV</v>
      </c>
      <c r="C1" t="s">
        <v>61</v>
      </c>
      <c r="D1" s="6" t="str">
        <f>Dashboard!B3</f>
        <v>Class 8 Bus</v>
      </c>
      <c r="F1" t="s">
        <v>22</v>
      </c>
      <c r="G1" s="6">
        <f ca="1">ResidualValue!$P$1</f>
        <v>487190.55933337501</v>
      </c>
      <c r="I1" t="s">
        <v>228</v>
      </c>
      <c r="J1" s="27">
        <f>Dashboard!$H$4</f>
        <v>10</v>
      </c>
      <c r="L1" t="s">
        <v>241</v>
      </c>
      <c r="M1" s="27">
        <f>Dashboard!$H$3</f>
        <v>0</v>
      </c>
      <c r="O1" t="s">
        <v>415</v>
      </c>
      <c r="P1" s="27">
        <f ca="1">Vehicle!$U$14</f>
        <v>38479.1447463566</v>
      </c>
    </row>
    <row r="3" spans="1:32"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row>
    <row r="4" spans="1:32" x14ac:dyDescent="0.45">
      <c r="A4" t="s">
        <v>21</v>
      </c>
      <c r="B4">
        <v>0</v>
      </c>
      <c r="C4">
        <f ca="1">IF(Dashboard!$B$4&lt;=10, 'Taxes &amp; Fees'!C6,'Taxes &amp; Fees'!C16)</f>
        <v>104359.38979415604</v>
      </c>
      <c r="D4">
        <f t="shared" ref="D4:AF4" ca="1" si="0">IF(D3=$M$1+1, $G$1*$J$9 + $J$10 +$J$11, 0)  + IF(AND(D3&gt;=$M$1+1, D3&lt;=$J$1), $J$13+$J$14)</f>
        <v>222</v>
      </c>
      <c r="E4">
        <f t="shared" ca="1" si="0"/>
        <v>222</v>
      </c>
      <c r="F4">
        <f t="shared" ca="1" si="0"/>
        <v>222</v>
      </c>
      <c r="G4">
        <f t="shared" ca="1" si="0"/>
        <v>222</v>
      </c>
      <c r="H4">
        <f t="shared" ca="1" si="0"/>
        <v>222</v>
      </c>
      <c r="I4">
        <f t="shared" ca="1" si="0"/>
        <v>222</v>
      </c>
      <c r="J4">
        <f t="shared" ca="1" si="0"/>
        <v>222</v>
      </c>
      <c r="K4">
        <f t="shared" ca="1" si="0"/>
        <v>222</v>
      </c>
      <c r="L4">
        <f t="shared" ca="1" si="0"/>
        <v>222</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row>
    <row r="6" spans="1:32" x14ac:dyDescent="0.45">
      <c r="A6" t="s">
        <v>413</v>
      </c>
      <c r="B6">
        <v>0</v>
      </c>
      <c r="C6">
        <f ca="1">IF(C3=$M$1+1, $G$1*$J$9 + $J$10 +$J$11, 0)  + IF(AND(C3&gt;=$M$1+1, C3&lt;=$J$1), $J$13+$J$14)</f>
        <v>41714.006984003507</v>
      </c>
      <c r="D6">
        <f t="shared" ref="D6:AF6" ca="1" si="1">IF(D3=$M$1+1, $G$1*$J$9 + $J$10 +$J$11, 0)  + IF(AND(D3&gt;=$M$1+1, D3&lt;=$J$1), $J$13+$J$14)</f>
        <v>222</v>
      </c>
      <c r="E6">
        <f t="shared" ca="1" si="1"/>
        <v>222</v>
      </c>
      <c r="F6">
        <f t="shared" ca="1" si="1"/>
        <v>222</v>
      </c>
      <c r="G6">
        <f t="shared" ca="1" si="1"/>
        <v>222</v>
      </c>
      <c r="H6">
        <f t="shared" ca="1" si="1"/>
        <v>222</v>
      </c>
      <c r="I6">
        <f t="shared" ca="1" si="1"/>
        <v>222</v>
      </c>
      <c r="J6">
        <f t="shared" ca="1" si="1"/>
        <v>222</v>
      </c>
      <c r="K6">
        <f t="shared" ca="1" si="1"/>
        <v>222</v>
      </c>
      <c r="L6">
        <f t="shared" ca="1" si="1"/>
        <v>222</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c r="AF6">
        <f t="shared" si="1"/>
        <v>0</v>
      </c>
    </row>
    <row r="8" spans="1:32" x14ac:dyDescent="0.45">
      <c r="B8" t="s">
        <v>370</v>
      </c>
      <c r="C8" t="s">
        <v>42</v>
      </c>
      <c r="D8" t="s">
        <v>43</v>
      </c>
      <c r="E8" t="s">
        <v>427</v>
      </c>
      <c r="F8" t="s">
        <v>44</v>
      </c>
      <c r="G8" t="s">
        <v>45</v>
      </c>
      <c r="H8" t="s">
        <v>46</v>
      </c>
      <c r="J8" t="s">
        <v>320</v>
      </c>
    </row>
    <row r="9" spans="1:32" x14ac:dyDescent="0.45">
      <c r="B9" t="s">
        <v>322</v>
      </c>
      <c r="C9" s="18">
        <v>8.4000000000000005E-2</v>
      </c>
      <c r="D9" s="18">
        <f>C9</f>
        <v>8.4000000000000005E-2</v>
      </c>
      <c r="E9" s="18">
        <f t="shared" ref="E9:H9" si="2">D9</f>
        <v>8.4000000000000005E-2</v>
      </c>
      <c r="F9" s="18">
        <f t="shared" si="2"/>
        <v>8.4000000000000005E-2</v>
      </c>
      <c r="G9" s="18">
        <f t="shared" si="2"/>
        <v>8.4000000000000005E-2</v>
      </c>
      <c r="H9" s="18">
        <f t="shared" si="2"/>
        <v>8.4000000000000005E-2</v>
      </c>
      <c r="J9">
        <f ca="1">OFFSET(B9,0,MATCH($B$1,$C$8:$H$8,0))</f>
        <v>8.4000000000000005E-2</v>
      </c>
    </row>
    <row r="10" spans="1:32" x14ac:dyDescent="0.45">
      <c r="B10" t="s">
        <v>323</v>
      </c>
      <c r="C10" s="2">
        <v>268</v>
      </c>
      <c r="D10" s="2">
        <v>268</v>
      </c>
      <c r="E10" s="2">
        <v>268</v>
      </c>
      <c r="F10" s="2">
        <v>268</v>
      </c>
      <c r="G10" s="2">
        <v>268</v>
      </c>
      <c r="H10" s="2">
        <v>268</v>
      </c>
      <c r="J10">
        <f ca="1">OFFSET(B10,0,MATCH($B$1,$C$8:$H$8,0))</f>
        <v>268</v>
      </c>
    </row>
    <row r="11" spans="1:32" x14ac:dyDescent="0.45">
      <c r="B11" t="s">
        <v>324</v>
      </c>
      <c r="C11" s="2">
        <v>300</v>
      </c>
      <c r="D11" s="2">
        <v>300</v>
      </c>
      <c r="E11" s="2">
        <v>300</v>
      </c>
      <c r="F11" s="2">
        <v>300</v>
      </c>
      <c r="G11" s="2">
        <v>300</v>
      </c>
      <c r="H11" s="2">
        <v>300</v>
      </c>
      <c r="J11">
        <f ca="1">OFFSET(B11,0,MATCH($B$1,$C$8:$H$8,0))</f>
        <v>300</v>
      </c>
    </row>
    <row r="13" spans="1:32" x14ac:dyDescent="0.45">
      <c r="B13" t="s">
        <v>321</v>
      </c>
      <c r="C13" s="2">
        <v>68</v>
      </c>
      <c r="D13" s="2">
        <v>68</v>
      </c>
      <c r="E13" s="2">
        <f>68+7</f>
        <v>75</v>
      </c>
      <c r="F13" s="2">
        <f>68+36</f>
        <v>104</v>
      </c>
      <c r="G13" s="2">
        <f>68+73</f>
        <v>141</v>
      </c>
      <c r="H13" s="2">
        <f>68+73</f>
        <v>141</v>
      </c>
      <c r="J13">
        <f ca="1">OFFSET(B13,0,MATCH($B$1,$C$8:$H$8,0))</f>
        <v>141</v>
      </c>
    </row>
    <row r="14" spans="1:32" x14ac:dyDescent="0.45">
      <c r="B14" t="s">
        <v>325</v>
      </c>
      <c r="C14" s="2">
        <v>87</v>
      </c>
      <c r="D14" s="2">
        <v>87</v>
      </c>
      <c r="E14" s="2">
        <v>87</v>
      </c>
      <c r="F14" s="2">
        <v>87</v>
      </c>
      <c r="G14" s="2">
        <v>87</v>
      </c>
      <c r="H14" s="2">
        <v>81</v>
      </c>
      <c r="J14">
        <f ca="1">OFFSET(B14,0,MATCH($B$1,$C$8:$H$8,0))</f>
        <v>81</v>
      </c>
    </row>
    <row r="16" spans="1:32" x14ac:dyDescent="0.45">
      <c r="A16" t="s">
        <v>414</v>
      </c>
      <c r="B16">
        <v>0</v>
      </c>
      <c r="C16">
        <f ca="1">IF(AND(C3=1,OR(Dashboard!$B$4=11,Dashboard!$B$4=12,Dashboard!$B$4=13,Dashboard!$B$4=16,Dashboard!$B$4=17)),Vehicle!$A$14*'Taxes &amp; Fees'!$C$19, 0) + IF(C3-1=$M$1,Vehicle!$A$14*'Taxes &amp; Fees'!$C$20,0) + ($C$23+$C$24)*VMT!C4 + $C$25</f>
        <v>104359.38979415604</v>
      </c>
      <c r="D16">
        <f ca="1">IF(AND(D3=1,OR(Dashboard!$B$4=11,Dashboard!$B$4=12,Dashboard!$B$4=13,Dashboard!$B$4=16,Dashboard!$B$4=17)),Vehicle!$A$14*'Taxes &amp; Fees'!$C$19, 0) + IF(D3-1=$M$1,Vehicle!$A$14*'Taxes &amp; Fees'!$C$20,0) + ($C$23+$C$24)*VMT!D4 + $C$25</f>
        <v>4941.718623238964</v>
      </c>
      <c r="E16">
        <f ca="1">IF(AND(E3=1,OR(Dashboard!$B$4=11,Dashboard!$B$4=12,Dashboard!$B$4=13,Dashboard!$B$4=16,Dashboard!$B$4=17)),Vehicle!$A$14*'Taxes &amp; Fees'!$C$19, 0) + IF(E3-1=$M$1,Vehicle!$A$14*'Taxes &amp; Fees'!$C$20,0) + ($C$23+$C$24)*VMT!E4 + $C$25</f>
        <v>4835.9896511388351</v>
      </c>
      <c r="F16">
        <f ca="1">IF(AND(F3=1,OR(Dashboard!$B$4=11,Dashboard!$B$4=12,Dashboard!$B$4=13,Dashboard!$B$4=16,Dashboard!$B$4=17)),Vehicle!$A$14*'Taxes &amp; Fees'!$C$19, 0) + IF(F3-1=$M$1,Vehicle!$A$14*'Taxes &amp; Fees'!$C$20,0) + ($C$23+$C$24)*VMT!F4 + $C$25</f>
        <v>4666.6624170689565</v>
      </c>
      <c r="G16">
        <f ca="1">IF(AND(G3=1,OR(Dashboard!$B$4=11,Dashboard!$B$4=12,Dashboard!$B$4=13,Dashboard!$B$4=16,Dashboard!$B$4=17)),Vehicle!$A$14*'Taxes &amp; Fees'!$C$19, 0) + IF(G3-1=$M$1,Vehicle!$A$14*'Taxes &amp; Fees'!$C$20,0) + ($C$23+$C$24)*VMT!G4 + $C$25</f>
        <v>4279.0769235400221</v>
      </c>
      <c r="H16">
        <f ca="1">IF(AND(H3=1,OR(Dashboard!$B$4=11,Dashboard!$B$4=12,Dashboard!$B$4=13,Dashboard!$B$4=16,Dashboard!$B$4=17)),Vehicle!$A$14*'Taxes &amp; Fees'!$C$19, 0) + IF(H3-1=$M$1,Vehicle!$A$14*'Taxes &amp; Fees'!$C$20,0) + ($C$23+$C$24)*VMT!H4 + $C$25</f>
        <v>3931.3992947718543</v>
      </c>
      <c r="I16">
        <f ca="1">IF(AND(I3=1,OR(Dashboard!$B$4=11,Dashboard!$B$4=12,Dashboard!$B$4=13,Dashboard!$B$4=16,Dashboard!$B$4=17)),Vehicle!$A$14*'Taxes &amp; Fees'!$C$19, 0) + IF(I3-1=$M$1,Vehicle!$A$14*'Taxes &amp; Fees'!$C$20,0) + ($C$23+$C$24)*VMT!I4 + $C$25</f>
        <v>3619.5204046584613</v>
      </c>
      <c r="J16">
        <f ca="1">IF(AND(J3=1,OR(Dashboard!$B$4=11,Dashboard!$B$4=12,Dashboard!$B$4=13,Dashboard!$B$4=16,Dashboard!$B$4=17)),Vehicle!$A$14*'Taxes &amp; Fees'!$C$19, 0) + IF(J3-1=$M$1,Vehicle!$A$14*'Taxes &amp; Fees'!$C$20,0) + ($C$23+$C$24)*VMT!J4 + $C$25</f>
        <v>3339.7542245824325</v>
      </c>
      <c r="K16">
        <f ca="1">IF(AND(K3=1,OR(Dashboard!$B$4=11,Dashboard!$B$4=12,Dashboard!$B$4=13,Dashboard!$B$4=16,Dashboard!$B$4=17)),Vehicle!$A$14*'Taxes &amp; Fees'!$C$19, 0) + IF(K3-1=$M$1,Vehicle!$A$14*'Taxes &amp; Fees'!$C$20,0) + ($C$23+$C$24)*VMT!K4 + $C$25</f>
        <v>3088.7942590462085</v>
      </c>
      <c r="L16">
        <f ca="1">IF(AND(L3=1,OR(Dashboard!$B$4=11,Dashboard!$B$4=12,Dashboard!$B$4=13,Dashboard!$B$4=16,Dashboard!$B$4=17)),Vehicle!$A$14*'Taxes &amp; Fees'!$C$19, 0) + IF(L3-1=$M$1,Vehicle!$A$14*'Taxes &amp; Fees'!$C$20,0) + ($C$23+$C$24)*VMT!L4 + $C$25</f>
        <v>2863.67446692256</v>
      </c>
      <c r="M16">
        <f ca="1">IF(AND(M3=1,OR(Dashboard!$B$4=11,Dashboard!$B$4=12,Dashboard!$B$4=13,Dashboard!$B$4=16,Dashboard!$B$4=17)),Vehicle!$A$14*'Taxes &amp; Fees'!$C$19, 0) + IF(M3-1=$M$1,Vehicle!$A$14*'Taxes &amp; Fees'!$C$20,0) + ($C$23+$C$24)*VMT!M4 + $C$25</f>
        <v>2661.7342064610566</v>
      </c>
      <c r="N16">
        <f ca="1">IF(AND(N3=1,OR(Dashboard!$B$4=11,Dashboard!$B$4=12,Dashboard!$B$4=13,Dashboard!$B$4=16,Dashboard!$B$4=17)),Vehicle!$A$14*'Taxes &amp; Fees'!$C$19, 0) + IF(N3-1=$M$1,Vehicle!$A$14*'Taxes &amp; Fees'!$C$20,0) + ($C$23+$C$24)*VMT!N4 + $C$25</f>
        <v>2493.5711071170417</v>
      </c>
      <c r="O16">
        <f ca="1">IF(AND(O3=1,OR(Dashboard!$B$4=11,Dashboard!$B$4=12,Dashboard!$B$4=13,Dashboard!$B$4=16,Dashboard!$B$4=17)),Vehicle!$A$14*'Taxes &amp; Fees'!$C$19, 0) + IF(O3-1=$M$1,Vehicle!$A$14*'Taxes &amp; Fees'!$C$20,0) + ($C$23+$C$24)*VMT!O4 + $C$25</f>
        <v>2341.4818698995728</v>
      </c>
      <c r="P16">
        <f ca="1">IF(AND(P3=1,OR(Dashboard!$B$4=11,Dashboard!$B$4=12,Dashboard!$B$4=13,Dashboard!$B$4=16,Dashboard!$B$4=17)),Vehicle!$A$14*'Taxes &amp; Fees'!$C$19, 0) + IF(P3-1=$M$1,Vehicle!$A$14*'Taxes &amp; Fees'!$C$20,0) + ($C$23+$C$24)*VMT!P4 + $C$25</f>
        <v>2203.9300754356063</v>
      </c>
      <c r="Q16">
        <f ca="1">IF(AND(Q3=1,OR(Dashboard!$B$4=11,Dashboard!$B$4=12,Dashboard!$B$4=13,Dashboard!$B$4=16,Dashboard!$B$4=17)),Vehicle!$A$14*'Taxes &amp; Fees'!$C$19, 0) + IF(Q3-1=$M$1,Vehicle!$A$14*'Taxes &amp; Fees'!$C$20,0) + ($C$23+$C$24)*VMT!Q4 + $C$25</f>
        <v>2079.5261629272977</v>
      </c>
      <c r="R16">
        <f ca="1">IF(AND(R3=1,OR(Dashboard!$B$4=11,Dashboard!$B$4=12,Dashboard!$B$4=13,Dashboard!$B$4=16,Dashboard!$B$4=17)),Vehicle!$A$14*'Taxes &amp; Fees'!$C$19, 0) + IF(R3-1=$M$1,Vehicle!$A$14*'Taxes &amp; Fees'!$C$20,0) + ($C$23+$C$24)*VMT!R4 + $C$25</f>
        <v>1967.0133926818394</v>
      </c>
      <c r="S16">
        <f ca="1">IF(AND(S3=1,OR(Dashboard!$B$4=11,Dashboard!$B$4=12,Dashboard!$B$4=13,Dashboard!$B$4=16,Dashboard!$B$4=17)),Vehicle!$A$14*'Taxes &amp; Fees'!$C$19, 0) + IF(S3-1=$M$1,Vehicle!$A$14*'Taxes &amp; Fees'!$C$20,0) + ($C$23+$C$24)*VMT!S4 + $C$25</f>
        <v>1865.2551504122332</v>
      </c>
      <c r="T16">
        <f ca="1">IF(AND(T3=1,OR(Dashboard!$B$4=11,Dashboard!$B$4=12,Dashboard!$B$4=13,Dashboard!$B$4=16,Dashboard!$B$4=17)),Vehicle!$A$14*'Taxes &amp; Fees'!$C$19, 0) + IF(T3-1=$M$1,Vehicle!$A$14*'Taxes &amp; Fees'!$C$20,0) + ($C$23+$C$24)*VMT!T4 + $C$25</f>
        <v>1768.6218807880794</v>
      </c>
      <c r="U16">
        <f ca="1">IF(AND(U3=1,OR(Dashboard!$B$4=11,Dashboard!$B$4=12,Dashboard!$B$4=13,Dashboard!$B$4=16,Dashboard!$B$4=17)),Vehicle!$A$14*'Taxes &amp; Fees'!$C$19, 0) + IF(U3-1=$M$1,Vehicle!$A$14*'Taxes &amp; Fees'!$C$20,0) + ($C$23+$C$24)*VMT!U4 + $C$25</f>
        <v>1681.687132134203</v>
      </c>
      <c r="V16">
        <f ca="1">IF(AND(V3=1,OR(Dashboard!$B$4=11,Dashboard!$B$4=12,Dashboard!$B$4=13,Dashboard!$B$4=16,Dashboard!$B$4=17)),Vehicle!$A$14*'Taxes &amp; Fees'!$C$19, 0) + IF(V3-1=$M$1,Vehicle!$A$14*'Taxes &amp; Fees'!$C$20,0) + ($C$23+$C$24)*VMT!V4 + $C$25</f>
        <v>1603.4775201350703</v>
      </c>
      <c r="W16">
        <f ca="1">IF(AND(W3=1,OR(Dashboard!$B$4=11,Dashboard!$B$4=12,Dashboard!$B$4=13,Dashboard!$B$4=16,Dashboard!$B$4=17)),Vehicle!$A$14*'Taxes &amp; Fees'!$C$19, 0) + IF(W3-1=$M$1,Vehicle!$A$14*'Taxes &amp; Fees'!$C$20,0) + ($C$23+$C$24)*VMT!W4 + $C$25</f>
        <v>1533.1173534149912</v>
      </c>
      <c r="X16">
        <f ca="1">IF(AND(X3=1,OR(Dashboard!$B$4=11,Dashboard!$B$4=12,Dashboard!$B$4=13,Dashboard!$B$4=16,Dashboard!$B$4=17)),Vehicle!$A$14*'Taxes &amp; Fees'!$C$19, 0) + IF(X3-1=$M$1,Vehicle!$A$14*'Taxes &amp; Fees'!$C$20,0) + ($C$23+$C$24)*VMT!X4 + $C$25</f>
        <v>1469.8188286641948</v>
      </c>
      <c r="Y16">
        <f ca="1">IF(AND(Y3=1,OR(Dashboard!$B$4=11,Dashboard!$B$4=12,Dashboard!$B$4=13,Dashboard!$B$4=16,Dashboard!$B$4=17)),Vehicle!$A$14*'Taxes &amp; Fees'!$C$19, 0) + IF(Y3-1=$M$1,Vehicle!$A$14*'Taxes &amp; Fees'!$C$20,0) + ($C$23+$C$24)*VMT!Y4 + $C$25</f>
        <v>1412.8732098232463</v>
      </c>
      <c r="Z16">
        <f ca="1">IF(AND(Z3=1,OR(Dashboard!$B$4=11,Dashboard!$B$4=12,Dashboard!$B$4=13,Dashboard!$B$4=16,Dashboard!$B$4=17)),Vehicle!$A$14*'Taxes &amp; Fees'!$C$19, 0) + IF(Z3-1=$M$1,Vehicle!$A$14*'Taxes &amp; Fees'!$C$20,0) + ($C$23+$C$24)*VMT!Z4 + $C$25</f>
        <v>1361.6428925615824</v>
      </c>
      <c r="AA16">
        <f ca="1">IF(AND(AA3=1,OR(Dashboard!$B$4=11,Dashboard!$B$4=12,Dashboard!$B$4=13,Dashboard!$B$4=16,Dashboard!$B$4=17)),Vehicle!$A$14*'Taxes &amp; Fees'!$C$19, 0) + IF(AA3-1=$M$1,Vehicle!$A$14*'Taxes &amp; Fees'!$C$20,0) + ($C$23+$C$24)*VMT!AA4 + $C$25</f>
        <v>1315.5542651983221</v>
      </c>
      <c r="AB16">
        <f ca="1">IF(AND(AB3=1,OR(Dashboard!$B$4=11,Dashboard!$B$4=12,Dashboard!$B$4=13,Dashboard!$B$4=16,Dashboard!$B$4=17)),Vehicle!$A$14*'Taxes &amp; Fees'!$C$19, 0) + IF(AB3-1=$M$1,Vehicle!$A$14*'Taxes &amp; Fees'!$C$20,0) + ($C$23+$C$24)*VMT!AB4 + $C$25</f>
        <v>1274.0912861310619</v>
      </c>
      <c r="AC16">
        <f ca="1">IF(AND(AC3=1,OR(Dashboard!$B$4=11,Dashboard!$B$4=12,Dashboard!$B$4=13,Dashboard!$B$4=16,Dashboard!$B$4=17)),Vehicle!$A$14*'Taxes &amp; Fees'!$C$19, 0) + IF(AC3-1=$M$1,Vehicle!$A$14*'Taxes &amp; Fees'!$C$20,0) + ($C$23+$C$24)*VMT!AC4 + $C$25</f>
        <v>1236.789705860904</v>
      </c>
      <c r="AD16">
        <f ca="1">IF(AND(AD3=1,OR(Dashboard!$B$4=11,Dashboard!$B$4=12,Dashboard!$B$4=13,Dashboard!$B$4=16,Dashboard!$B$4=17)),Vehicle!$A$14*'Taxes &amp; Fees'!$C$19, 0) + IF(AD3-1=$M$1,Vehicle!$A$14*'Taxes &amp; Fees'!$C$20,0) + ($C$23+$C$24)*VMT!AD4 + $C$25</f>
        <v>1203.2318689193291</v>
      </c>
      <c r="AE16">
        <f ca="1">IF(AND(AE3=1,OR(Dashboard!$B$4=11,Dashboard!$B$4=12,Dashboard!$B$4=13,Dashboard!$B$4=16,Dashboard!$B$4=17)),Vehicle!$A$14*'Taxes &amp; Fees'!$C$19, 0) + IF(AE3-1=$M$1,Vehicle!$A$14*'Taxes &amp; Fees'!$C$20,0) + ($C$23+$C$24)*VMT!AE4 + $C$25</f>
        <v>1173.0420374955318</v>
      </c>
      <c r="AF16">
        <f ca="1">IF(AND(AF3=1,OR(Dashboard!$B$4=11,Dashboard!$B$4=12,Dashboard!$B$4=13,Dashboard!$B$4=16,Dashboard!$B$4=17)),Vehicle!$A$14*'Taxes &amp; Fees'!$C$19, 0) + IF(AF3-1=$M$1,Vehicle!$A$14*'Taxes &amp; Fees'!$C$20,0) + ($C$23+$C$24)*VMT!AF4 + $C$25</f>
        <v>1145.882184404162</v>
      </c>
    </row>
    <row r="18" spans="2:11" x14ac:dyDescent="0.45">
      <c r="B18" t="s">
        <v>371</v>
      </c>
    </row>
    <row r="19" spans="2:11" x14ac:dyDescent="0.45">
      <c r="B19" t="s">
        <v>399</v>
      </c>
      <c r="C19" s="4">
        <v>0.12</v>
      </c>
    </row>
    <row r="20" spans="2:11" x14ac:dyDescent="0.45">
      <c r="B20" t="s">
        <v>322</v>
      </c>
      <c r="C20" s="3">
        <f>C9</f>
        <v>8.4000000000000005E-2</v>
      </c>
    </row>
    <row r="21" spans="2:11" x14ac:dyDescent="0.45">
      <c r="B21" t="s">
        <v>400</v>
      </c>
      <c r="C21" s="103">
        <f ca="1">IF(P1&lt;55000, 0,  IF($P$1&gt;75000, 550, 100+ 22*($P$1-55000)/1000))</f>
        <v>0</v>
      </c>
      <c r="D21" t="s">
        <v>422</v>
      </c>
    </row>
    <row r="23" spans="2:11" x14ac:dyDescent="0.45">
      <c r="B23" t="s">
        <v>424</v>
      </c>
      <c r="C23" s="2">
        <v>3.0539999999999998E-2</v>
      </c>
      <c r="D23" t="s">
        <v>425</v>
      </c>
    </row>
    <row r="24" spans="2:11" x14ac:dyDescent="0.45">
      <c r="B24" t="s">
        <v>437</v>
      </c>
      <c r="C24" s="2">
        <v>2.4432000000000002E-2</v>
      </c>
      <c r="D24" t="s">
        <v>425</v>
      </c>
    </row>
    <row r="25" spans="2:11" x14ac:dyDescent="0.45">
      <c r="B25" t="s">
        <v>426</v>
      </c>
      <c r="C25" s="6">
        <f>INDEX(E27:K27, MATCH($D$1,$E$26:$K$26,0))</f>
        <v>902.42908374990077</v>
      </c>
    </row>
    <row r="26" spans="2:11" x14ac:dyDescent="0.45">
      <c r="E26" t="s">
        <v>115</v>
      </c>
      <c r="F26" t="s">
        <v>116</v>
      </c>
      <c r="G26" t="s">
        <v>117</v>
      </c>
      <c r="H26" t="s">
        <v>124</v>
      </c>
      <c r="I26" t="s">
        <v>125</v>
      </c>
      <c r="J26" t="s">
        <v>118</v>
      </c>
      <c r="K26" t="s">
        <v>138</v>
      </c>
    </row>
    <row r="27" spans="2:11" x14ac:dyDescent="0.45">
      <c r="E27">
        <v>1723.5371968685793</v>
      </c>
      <c r="F27">
        <v>1723.5371968685793</v>
      </c>
      <c r="G27">
        <v>902.42908374990077</v>
      </c>
      <c r="H27">
        <v>902.42908374990077</v>
      </c>
      <c r="I27">
        <v>902.42908374990077</v>
      </c>
      <c r="J27">
        <v>902.42908374990077</v>
      </c>
      <c r="K27">
        <v>902.42908374990077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E38"/>
  <sheetViews>
    <sheetView workbookViewId="0">
      <selection activeCell="B16" sqref="B16"/>
    </sheetView>
  </sheetViews>
  <sheetFormatPr defaultRowHeight="14.25" x14ac:dyDescent="0.45"/>
  <cols>
    <col min="1" max="1" width="9.59765625" bestFit="1" customWidth="1"/>
    <col min="2" max="2" width="8.86328125" bestFit="1" customWidth="1"/>
    <col min="3" max="3" width="21.1328125" bestFit="1" customWidth="1"/>
    <col min="4" max="4" width="9.86328125" bestFit="1" customWidth="1"/>
    <col min="5" max="5" width="12.1328125" customWidth="1"/>
    <col min="6" max="7" width="9.86328125" bestFit="1" customWidth="1"/>
    <col min="8" max="32" width="8.86328125" bestFit="1" customWidth="1"/>
  </cols>
  <sheetData>
    <row r="1" spans="1:57" x14ac:dyDescent="0.45">
      <c r="A1" t="s">
        <v>9</v>
      </c>
      <c r="B1" s="6" t="str">
        <f>Dashboard!B20</f>
        <v>BEV</v>
      </c>
      <c r="C1" t="s">
        <v>61</v>
      </c>
      <c r="D1" s="6" t="str">
        <f>Dashboard!B3</f>
        <v>Class 8 Bus</v>
      </c>
    </row>
    <row r="3" spans="1:57"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row>
    <row r="4" spans="1:57" x14ac:dyDescent="0.45">
      <c r="A4" t="s">
        <v>86</v>
      </c>
      <c r="B4" s="14">
        <f ca="1">B8+B18</f>
        <v>0</v>
      </c>
      <c r="C4" s="14">
        <f ca="1">C8+C18</f>
        <v>1905.1066056097754</v>
      </c>
      <c r="D4" s="14">
        <f t="shared" ref="D4:AF4" ca="1" si="0">D8+D18</f>
        <v>1890.6912623321466</v>
      </c>
      <c r="E4" s="14">
        <f t="shared" ca="1" si="0"/>
        <v>1841.2021524847851</v>
      </c>
      <c r="F4" s="14">
        <f t="shared" ca="1" si="0"/>
        <v>1761.9442733946701</v>
      </c>
      <c r="G4" s="14">
        <f t="shared" ca="1" si="0"/>
        <v>1580.5251156794886</v>
      </c>
      <c r="H4" s="14">
        <f t="shared" ca="1" si="0"/>
        <v>1417.7858397761615</v>
      </c>
      <c r="I4" s="14">
        <f t="shared" ca="1" si="0"/>
        <v>1271.8030656574665</v>
      </c>
      <c r="J4" s="14">
        <f t="shared" ca="1" si="0"/>
        <v>1140.8514547381121</v>
      </c>
      <c r="K4" s="14">
        <f t="shared" ca="1" si="0"/>
        <v>1023.3833184740962</v>
      </c>
      <c r="L4" s="14">
        <f t="shared" ca="1" si="0"/>
        <v>918.0103265691755</v>
      </c>
      <c r="M4" s="14">
        <f t="shared" ca="1" si="0"/>
        <v>823.48709860173028</v>
      </c>
      <c r="N4" s="14">
        <f t="shared" ca="1" si="0"/>
        <v>744.77412210719581</v>
      </c>
      <c r="O4" s="14">
        <f t="shared" ca="1" si="0"/>
        <v>673.58492185536068</v>
      </c>
      <c r="P4" s="14">
        <f t="shared" ca="1" si="0"/>
        <v>609.20033803965691</v>
      </c>
      <c r="Q4" s="14">
        <f t="shared" ca="1" si="0"/>
        <v>550.96995171059382</v>
      </c>
      <c r="R4" s="14">
        <f t="shared" ca="1" si="0"/>
        <v>498.30551418409232</v>
      </c>
      <c r="S4" s="14">
        <f t="shared" ca="1" si="0"/>
        <v>450.67500449952081</v>
      </c>
      <c r="T4" s="14">
        <f t="shared" ca="1" si="0"/>
        <v>405.44336741512291</v>
      </c>
      <c r="U4" s="14">
        <f t="shared" ca="1" si="0"/>
        <v>364.75136748146218</v>
      </c>
      <c r="V4" s="14">
        <f t="shared" ca="1" si="0"/>
        <v>328.14338763957835</v>
      </c>
      <c r="W4" s="14">
        <f t="shared" ca="1" si="0"/>
        <v>295.20953847294658</v>
      </c>
      <c r="X4" s="14">
        <f t="shared" ca="1" si="0"/>
        <v>265.58106878914566</v>
      </c>
      <c r="Y4" s="14">
        <f t="shared" ca="1" si="0"/>
        <v>238.92623681483335</v>
      </c>
      <c r="Z4" s="14">
        <f t="shared" ca="1" si="0"/>
        <v>214.94659577494306</v>
      </c>
      <c r="AA4" s="14">
        <f t="shared" ca="1" si="0"/>
        <v>193.37365226675848</v>
      </c>
      <c r="AB4" s="14">
        <f t="shared" ca="1" si="0"/>
        <v>173.96586001360751</v>
      </c>
      <c r="AC4" s="14">
        <f t="shared" ca="1" si="0"/>
        <v>156.50591533806687</v>
      </c>
      <c r="AD4" s="14">
        <f t="shared" ca="1" si="0"/>
        <v>140.79832407283959</v>
      </c>
      <c r="AE4" s="14">
        <f t="shared" ca="1" si="0"/>
        <v>126.66721266668017</v>
      </c>
      <c r="AF4" s="14">
        <f t="shared" ca="1" si="0"/>
        <v>113.9543589769264</v>
      </c>
    </row>
    <row r="5" spans="1:57" x14ac:dyDescent="0.45">
      <c r="A5" t="s">
        <v>87</v>
      </c>
      <c r="B5" s="14">
        <f ca="1" xml:space="preserve"> Dashboard!$K$15  * ($A$33*VMT!B4 + B23)</f>
        <v>0</v>
      </c>
      <c r="C5" s="14">
        <f ca="1" xml:space="preserve"> Dashboard!$K$15  * ($A$33*VMT!C4 + C23)</f>
        <v>148232.66779820487</v>
      </c>
      <c r="D5" s="14">
        <f ca="1" xml:space="preserve"> Dashboard!$K$15  * ($A$33*VMT!D4 + D23)</f>
        <v>147111.03776187109</v>
      </c>
      <c r="E5" s="14">
        <f ca="1" xml:space="preserve"> Dashboard!$K$15  * ($A$33*VMT!E4 + E23)</f>
        <v>143260.38564716448</v>
      </c>
      <c r="F5" s="14">
        <f ca="1" xml:space="preserve"> Dashboard!$K$15  * ($A$33*VMT!F4 + F23)</f>
        <v>137093.48305653757</v>
      </c>
      <c r="G5" s="14">
        <f ca="1" xml:space="preserve"> Dashboard!$K$15  * ($A$33*VMT!G4 + G23)</f>
        <v>122977.60856498014</v>
      </c>
      <c r="H5" s="14">
        <f ca="1" xml:space="preserve"> Dashboard!$K$15  * ($A$33*VMT!H4 + H23)</f>
        <v>110315.17962180976</v>
      </c>
      <c r="I5" s="14">
        <f ca="1" xml:space="preserve"> Dashboard!$K$15  * ($A$33*VMT!I4 + I23)</f>
        <v>98956.541739563429</v>
      </c>
      <c r="J5" s="14">
        <f ca="1" xml:space="preserve"> Dashboard!$K$15  * ($A$33*VMT!J4 + J23)</f>
        <v>88767.449653120653</v>
      </c>
      <c r="K5" s="14">
        <f ca="1" xml:space="preserve"> Dashboard!$K$15  * ($A$33*VMT!K4 + K23)</f>
        <v>79627.480704178393</v>
      </c>
      <c r="L5" s="14">
        <f ca="1" xml:space="preserve"> Dashboard!$K$15  * ($A$33*VMT!L4 + L23)</f>
        <v>71428.611592102883</v>
      </c>
      <c r="M5" s="14">
        <f ca="1" xml:space="preserve"> Dashboard!$K$15  * ($A$33*VMT!M4 + M23)</f>
        <v>64073.941670086831</v>
      </c>
      <c r="N5" s="14">
        <f ca="1" xml:space="preserve"> Dashboard!$K$15  * ($A$33*VMT!N4 + N23)</f>
        <v>57949.436898666085</v>
      </c>
      <c r="O5" s="14">
        <f ca="1" xml:space="preserve"> Dashboard!$K$15  * ($A$33*VMT!O4 + O23)</f>
        <v>52410.342634504137</v>
      </c>
      <c r="P5" s="14">
        <f ca="1" xml:space="preserve"> Dashboard!$K$15  * ($A$33*VMT!P4 + P23)</f>
        <v>47400.702441154353</v>
      </c>
      <c r="Q5" s="14">
        <f ca="1" xml:space="preserve"> Dashboard!$K$15  * ($A$33*VMT!Q4 + Q23)</f>
        <v>42869.908475577628</v>
      </c>
      <c r="R5" s="14">
        <f ca="1" xml:space="preserve"> Dashboard!$K$15  * ($A$33*VMT!R4 + R23)</f>
        <v>38772.190243087156</v>
      </c>
      <c r="S5" s="14">
        <f ca="1" xml:space="preserve"> Dashboard!$K$15  * ($A$33*VMT!S4 + S23)</f>
        <v>35066.152219628406</v>
      </c>
      <c r="T5" s="14">
        <f ca="1" xml:space="preserve"> Dashboard!$K$15  * ($A$33*VMT!T4 + T23)</f>
        <v>31546.765842951343</v>
      </c>
      <c r="U5" s="14">
        <f ca="1" xml:space="preserve"> Dashboard!$K$15  * ($A$33*VMT!U4 + U23)</f>
        <v>28380.599870690563</v>
      </c>
      <c r="V5" s="14">
        <f ca="1" xml:space="preserve"> Dashboard!$K$15  * ($A$33*VMT!V4 + V23)</f>
        <v>25532.203618907864</v>
      </c>
      <c r="W5" s="14">
        <f ca="1" xml:space="preserve"> Dashboard!$K$15  * ($A$33*VMT!W4 + W23)</f>
        <v>22969.684383260708</v>
      </c>
      <c r="X5" s="14">
        <f ca="1" xml:space="preserve"> Dashboard!$K$15  * ($A$33*VMT!X4 + X23)</f>
        <v>20664.350345220188</v>
      </c>
      <c r="Y5" s="14">
        <f ca="1" xml:space="preserve"> Dashboard!$K$15  * ($A$33*VMT!Y4 + Y23)</f>
        <v>18590.389317721387</v>
      </c>
      <c r="Z5" s="14">
        <f ca="1" xml:space="preserve"> Dashboard!$K$15  * ($A$33*VMT!Z4 + Z23)</f>
        <v>16724.57973325011</v>
      </c>
      <c r="AA5" s="14">
        <f ca="1" xml:space="preserve"> Dashboard!$K$15  * ($A$33*VMT!AA4 + AA23)</f>
        <v>15046.030638379576</v>
      </c>
      <c r="AB5" s="14">
        <f ca="1" xml:space="preserve"> Dashboard!$K$15  * ($A$33*VMT!AB4 + AB23)</f>
        <v>13535.947783547896</v>
      </c>
      <c r="AC5" s="14">
        <f ca="1" xml:space="preserve"> Dashboard!$K$15  * ($A$33*VMT!AC4 + AC23)</f>
        <v>12177.423189048335</v>
      </c>
      <c r="AD5" s="14">
        <f ca="1" xml:space="preserve"> Dashboard!$K$15  * ($A$33*VMT!AD4 + AD23)</f>
        <v>10955.245831060976</v>
      </c>
      <c r="AE5" s="14">
        <f ca="1" xml:space="preserve"> Dashboard!$K$15  * ($A$33*VMT!AE4 + AE23)</f>
        <v>9855.7313280296912</v>
      </c>
      <c r="AF5" s="14">
        <f ca="1" xml:space="preserve"> Dashboard!$K$15  * ($A$33*VMT!AF4 + AF23)</f>
        <v>8866.568720429952</v>
      </c>
    </row>
    <row r="8" spans="1:57" x14ac:dyDescent="0.45">
      <c r="A8" t="s">
        <v>202</v>
      </c>
      <c r="B8" s="11">
        <f ca="1">$A$14*VMT!B4 * SUM(Dashboard!$O$14:$O$20,Dashboard!$O$22)  *  Dashboard!$K$7</f>
        <v>0</v>
      </c>
      <c r="C8" s="11">
        <f ca="1">$A$14*VMT!C4 * SUM(Dashboard!$O$14:$O$20,Dashboard!$O$22)  *  Dashboard!$K$7</f>
        <v>1905.1066056097754</v>
      </c>
      <c r="D8" s="11">
        <f ca="1">$A$14*VMT!D4 * SUM(Dashboard!$O$14:$O$20,Dashboard!$O$22)  *  Dashboard!$K$7</f>
        <v>1890.6912623321466</v>
      </c>
      <c r="E8" s="11">
        <f ca="1">$A$14*VMT!E4 * SUM(Dashboard!$O$14:$O$20,Dashboard!$O$22)  *  Dashboard!$K$7</f>
        <v>1841.2021524847851</v>
      </c>
      <c r="F8" s="11">
        <f ca="1">$A$14*VMT!F4 * SUM(Dashboard!$O$14:$O$20,Dashboard!$O$22)  *  Dashboard!$K$7</f>
        <v>1761.9442733946701</v>
      </c>
      <c r="G8" s="11">
        <f ca="1">$A$14*VMT!G4 * SUM(Dashboard!$O$14:$O$20,Dashboard!$O$22)  *  Dashboard!$K$7</f>
        <v>1580.5251156794886</v>
      </c>
      <c r="H8" s="11">
        <f ca="1">$A$14*VMT!H4 * SUM(Dashboard!$O$14:$O$20,Dashboard!$O$22)  *  Dashboard!$K$7</f>
        <v>1417.7858397761615</v>
      </c>
      <c r="I8" s="11">
        <f ca="1">$A$14*VMT!I4 * SUM(Dashboard!$O$14:$O$20,Dashboard!$O$22)  *  Dashboard!$K$7</f>
        <v>1271.8030656574665</v>
      </c>
      <c r="J8" s="11">
        <f ca="1">$A$14*VMT!J4 * SUM(Dashboard!$O$14:$O$20,Dashboard!$O$22)  *  Dashboard!$K$7</f>
        <v>1140.8514547381121</v>
      </c>
      <c r="K8" s="11">
        <f ca="1">$A$14*VMT!K4 * SUM(Dashboard!$O$14:$O$20,Dashboard!$O$22)  *  Dashboard!$K$7</f>
        <v>1023.3833184740962</v>
      </c>
      <c r="L8" s="11">
        <f ca="1">$A$14*VMT!L4 * SUM(Dashboard!$O$14:$O$20,Dashboard!$O$22)  *  Dashboard!$K$7</f>
        <v>918.0103265691755</v>
      </c>
      <c r="M8" s="11">
        <f ca="1">$A$14*VMT!M4 * SUM(Dashboard!$O$14:$O$20,Dashboard!$O$22)  *  Dashboard!$K$7</f>
        <v>823.48709860173028</v>
      </c>
      <c r="N8" s="11">
        <f ca="1">$A$14*VMT!N4 * SUM(Dashboard!$O$14:$O$20,Dashboard!$O$22)  *  Dashboard!$K$7</f>
        <v>744.77412210719581</v>
      </c>
      <c r="O8" s="11">
        <f ca="1">$A$14*VMT!O4 * SUM(Dashboard!$O$14:$O$20,Dashboard!$O$22)  *  Dashboard!$K$7</f>
        <v>673.58492185536068</v>
      </c>
      <c r="P8" s="11">
        <f ca="1">$A$14*VMT!P4 * SUM(Dashboard!$O$14:$O$20,Dashboard!$O$22)  *  Dashboard!$K$7</f>
        <v>609.20033803965691</v>
      </c>
      <c r="Q8" s="11">
        <f ca="1">$A$14*VMT!Q4 * SUM(Dashboard!$O$14:$O$20,Dashboard!$O$22)  *  Dashboard!$K$7</f>
        <v>550.96995171059382</v>
      </c>
      <c r="R8" s="11">
        <f ca="1">$A$14*VMT!R4 * SUM(Dashboard!$O$14:$O$20,Dashboard!$O$22)  *  Dashboard!$K$7</f>
        <v>498.30551418409232</v>
      </c>
      <c r="S8" s="11">
        <f ca="1">$A$14*VMT!S4 * SUM(Dashboard!$O$14:$O$20,Dashboard!$O$22)  *  Dashboard!$K$7</f>
        <v>450.67500449952081</v>
      </c>
      <c r="T8" s="11">
        <f ca="1">$A$14*VMT!T4 * SUM(Dashboard!$O$14:$O$20,Dashboard!$O$22)  *  Dashboard!$K$7</f>
        <v>405.44336741512291</v>
      </c>
      <c r="U8" s="11">
        <f ca="1">$A$14*VMT!U4 * SUM(Dashboard!$O$14:$O$20,Dashboard!$O$22)  *  Dashboard!$K$7</f>
        <v>364.75136748146218</v>
      </c>
      <c r="V8" s="11">
        <f ca="1">$A$14*VMT!V4 * SUM(Dashboard!$O$14:$O$20,Dashboard!$O$22)  *  Dashboard!$K$7</f>
        <v>328.14338763957835</v>
      </c>
      <c r="W8" s="11">
        <f ca="1">$A$14*VMT!W4 * SUM(Dashboard!$O$14:$O$20,Dashboard!$O$22)  *  Dashboard!$K$7</f>
        <v>295.20953847294658</v>
      </c>
      <c r="X8" s="11">
        <f ca="1">$A$14*VMT!X4 * SUM(Dashboard!$O$14:$O$20,Dashboard!$O$22)  *  Dashboard!$K$7</f>
        <v>265.58106878914566</v>
      </c>
      <c r="Y8" s="11">
        <f ca="1">$A$14*VMT!Y4 * SUM(Dashboard!$O$14:$O$20,Dashboard!$O$22)  *  Dashboard!$K$7</f>
        <v>238.92623681483335</v>
      </c>
      <c r="Z8" s="11">
        <f ca="1">$A$14*VMT!Z4 * SUM(Dashboard!$O$14:$O$20,Dashboard!$O$22)  *  Dashboard!$K$7</f>
        <v>214.94659577494306</v>
      </c>
      <c r="AA8" s="11">
        <f ca="1">$A$14*VMT!AA4 * SUM(Dashboard!$O$14:$O$20,Dashboard!$O$22)  *  Dashboard!$K$7</f>
        <v>193.37365226675848</v>
      </c>
      <c r="AB8" s="11">
        <f ca="1">$A$14*VMT!AB4 * SUM(Dashboard!$O$14:$O$20,Dashboard!$O$22)  *  Dashboard!$K$7</f>
        <v>173.96586001360751</v>
      </c>
      <c r="AC8" s="11">
        <f ca="1">$A$14*VMT!AC4 * SUM(Dashboard!$O$14:$O$20,Dashboard!$O$22)  *  Dashboard!$K$7</f>
        <v>156.50591533806687</v>
      </c>
      <c r="AD8" s="11">
        <f ca="1">$A$14*VMT!AD4 * SUM(Dashboard!$O$14:$O$20,Dashboard!$O$22)  *  Dashboard!$K$7</f>
        <v>140.79832407283959</v>
      </c>
      <c r="AE8" s="11">
        <f ca="1">$A$14*VMT!AE4 * SUM(Dashboard!$O$14:$O$20,Dashboard!$O$22)  *  Dashboard!$K$7</f>
        <v>126.66721266668017</v>
      </c>
      <c r="AF8" s="11">
        <f ca="1">$A$14*VMT!AF4 * SUM(Dashboard!$O$14:$O$20,Dashboard!$O$22)  *  Dashboard!$K$7</f>
        <v>113.9543589769264</v>
      </c>
    </row>
    <row r="10" spans="1:57" x14ac:dyDescent="0.45">
      <c r="A10" t="s">
        <v>456</v>
      </c>
      <c r="C10" t="s">
        <v>421</v>
      </c>
      <c r="D10" t="s">
        <v>470</v>
      </c>
      <c r="E10" t="s">
        <v>450</v>
      </c>
      <c r="H10" t="s">
        <v>520</v>
      </c>
      <c r="I10" t="s">
        <v>471</v>
      </c>
      <c r="J10" t="s">
        <v>472</v>
      </c>
      <c r="K10" t="s">
        <v>473</v>
      </c>
      <c r="L10" t="s">
        <v>474</v>
      </c>
      <c r="M10" t="s">
        <v>475</v>
      </c>
      <c r="N10" t="s">
        <v>476</v>
      </c>
      <c r="O10" t="s">
        <v>477</v>
      </c>
      <c r="P10" t="s">
        <v>478</v>
      </c>
      <c r="Q10" t="s">
        <v>479</v>
      </c>
      <c r="R10" t="s">
        <v>480</v>
      </c>
      <c r="S10" t="s">
        <v>481</v>
      </c>
      <c r="T10" t="s">
        <v>482</v>
      </c>
      <c r="U10" t="s">
        <v>483</v>
      </c>
      <c r="V10" t="s">
        <v>484</v>
      </c>
      <c r="W10" t="s">
        <v>485</v>
      </c>
      <c r="X10" t="s">
        <v>486</v>
      </c>
      <c r="Y10" t="s">
        <v>487</v>
      </c>
      <c r="Z10" t="s">
        <v>488</v>
      </c>
      <c r="AA10" t="s">
        <v>489</v>
      </c>
      <c r="AB10" t="s">
        <v>490</v>
      </c>
      <c r="AC10" t="s">
        <v>491</v>
      </c>
      <c r="AD10" t="s">
        <v>492</v>
      </c>
      <c r="AE10" t="s">
        <v>493</v>
      </c>
      <c r="AF10" t="s">
        <v>494</v>
      </c>
      <c r="AG10" t="s">
        <v>495</v>
      </c>
      <c r="AH10" t="s">
        <v>496</v>
      </c>
      <c r="AI10" t="s">
        <v>497</v>
      </c>
      <c r="AJ10" t="s">
        <v>498</v>
      </c>
      <c r="AK10" t="s">
        <v>499</v>
      </c>
      <c r="AL10" t="s">
        <v>500</v>
      </c>
      <c r="AM10" t="s">
        <v>501</v>
      </c>
      <c r="AN10" t="s">
        <v>502</v>
      </c>
      <c r="AO10" t="s">
        <v>503</v>
      </c>
      <c r="AP10" t="s">
        <v>504</v>
      </c>
      <c r="AQ10" t="s">
        <v>505</v>
      </c>
      <c r="AR10" t="s">
        <v>506</v>
      </c>
      <c r="AS10" t="s">
        <v>507</v>
      </c>
      <c r="AT10" t="s">
        <v>508</v>
      </c>
      <c r="AU10" t="s">
        <v>509</v>
      </c>
      <c r="AV10" t="s">
        <v>510</v>
      </c>
      <c r="AW10" t="s">
        <v>511</v>
      </c>
      <c r="AX10" t="s">
        <v>512</v>
      </c>
      <c r="AY10" t="s">
        <v>513</v>
      </c>
      <c r="AZ10" t="s">
        <v>514</v>
      </c>
      <c r="BA10" t="s">
        <v>515</v>
      </c>
      <c r="BB10" t="s">
        <v>516</v>
      </c>
      <c r="BC10" t="s">
        <v>517</v>
      </c>
      <c r="BD10" t="s">
        <v>518</v>
      </c>
      <c r="BE10" t="s">
        <v>519</v>
      </c>
    </row>
    <row r="11" spans="1:57" x14ac:dyDescent="0.45">
      <c r="A11" s="106">
        <f ca="1">SUMPRODUCT(H12:BE12,H11:BE11)</f>
        <v>304.16161520154947</v>
      </c>
      <c r="C11" s="6">
        <f ca="1">OFFSET(Vehicle!U17,MATCH(Vehicle!$D$1,Vehicle!$U$18:$U$34,0),MATCH(Vehicle!$B$1,Vehicle!$V$17:$AA$17,0))</f>
        <v>38479.1447463566</v>
      </c>
      <c r="D11" s="2">
        <v>80000</v>
      </c>
      <c r="E11" s="2">
        <f>IF(OR($B$1="BEV",Dashboard!$B$27="CNG"), 2000, 0)</f>
        <v>2000</v>
      </c>
      <c r="G11" t="s">
        <v>468</v>
      </c>
      <c r="H11">
        <f ca="1">MAX(0, D14)</f>
        <v>903.102046220185</v>
      </c>
      <c r="I11">
        <f ca="1">MAX(0, H11-500)</f>
        <v>403.102046220185</v>
      </c>
      <c r="J11">
        <f t="shared" ref="J11:BE11" ca="1" si="1">MAX(0, I11-500)</f>
        <v>0</v>
      </c>
      <c r="K11">
        <f t="shared" ca="1" si="1"/>
        <v>0</v>
      </c>
      <c r="L11">
        <f t="shared" ca="1" si="1"/>
        <v>0</v>
      </c>
      <c r="M11">
        <f t="shared" ca="1" si="1"/>
        <v>0</v>
      </c>
      <c r="N11">
        <f t="shared" ca="1" si="1"/>
        <v>0</v>
      </c>
      <c r="O11">
        <f t="shared" ca="1" si="1"/>
        <v>0</v>
      </c>
      <c r="P11">
        <f t="shared" ca="1" si="1"/>
        <v>0</v>
      </c>
      <c r="Q11">
        <f t="shared" ca="1" si="1"/>
        <v>0</v>
      </c>
      <c r="R11">
        <f t="shared" ca="1" si="1"/>
        <v>0</v>
      </c>
      <c r="S11">
        <f t="shared" ca="1" si="1"/>
        <v>0</v>
      </c>
      <c r="T11">
        <f t="shared" ca="1" si="1"/>
        <v>0</v>
      </c>
      <c r="U11">
        <f t="shared" ca="1" si="1"/>
        <v>0</v>
      </c>
      <c r="V11">
        <f t="shared" ca="1" si="1"/>
        <v>0</v>
      </c>
      <c r="W11">
        <f t="shared" ca="1" si="1"/>
        <v>0</v>
      </c>
      <c r="X11">
        <f t="shared" ca="1" si="1"/>
        <v>0</v>
      </c>
      <c r="Y11">
        <f t="shared" ca="1" si="1"/>
        <v>0</v>
      </c>
      <c r="Z11">
        <f t="shared" ca="1" si="1"/>
        <v>0</v>
      </c>
      <c r="AA11">
        <f t="shared" ca="1" si="1"/>
        <v>0</v>
      </c>
      <c r="AB11">
        <f t="shared" ca="1" si="1"/>
        <v>0</v>
      </c>
      <c r="AC11">
        <f t="shared" ca="1" si="1"/>
        <v>0</v>
      </c>
      <c r="AD11">
        <f t="shared" ca="1" si="1"/>
        <v>0</v>
      </c>
      <c r="AE11">
        <f t="shared" ca="1" si="1"/>
        <v>0</v>
      </c>
      <c r="AF11">
        <f t="shared" ca="1" si="1"/>
        <v>0</v>
      </c>
      <c r="AG11">
        <f t="shared" ca="1" si="1"/>
        <v>0</v>
      </c>
      <c r="AH11">
        <f t="shared" ca="1" si="1"/>
        <v>0</v>
      </c>
      <c r="AI11">
        <f t="shared" ca="1" si="1"/>
        <v>0</v>
      </c>
      <c r="AJ11">
        <f t="shared" ca="1" si="1"/>
        <v>0</v>
      </c>
      <c r="AK11">
        <f t="shared" ca="1" si="1"/>
        <v>0</v>
      </c>
      <c r="AL11">
        <f t="shared" ca="1" si="1"/>
        <v>0</v>
      </c>
      <c r="AM11">
        <f t="shared" ca="1" si="1"/>
        <v>0</v>
      </c>
      <c r="AN11">
        <f t="shared" ca="1" si="1"/>
        <v>0</v>
      </c>
      <c r="AO11">
        <f t="shared" ca="1" si="1"/>
        <v>0</v>
      </c>
      <c r="AP11">
        <f t="shared" ca="1" si="1"/>
        <v>0</v>
      </c>
      <c r="AQ11">
        <f t="shared" ca="1" si="1"/>
        <v>0</v>
      </c>
      <c r="AR11">
        <f t="shared" ca="1" si="1"/>
        <v>0</v>
      </c>
      <c r="AS11">
        <f t="shared" ca="1" si="1"/>
        <v>0</v>
      </c>
      <c r="AT11">
        <f t="shared" ca="1" si="1"/>
        <v>0</v>
      </c>
      <c r="AU11">
        <f t="shared" ca="1" si="1"/>
        <v>0</v>
      </c>
      <c r="AV11">
        <f t="shared" ca="1" si="1"/>
        <v>0</v>
      </c>
      <c r="AW11">
        <f t="shared" ca="1" si="1"/>
        <v>0</v>
      </c>
      <c r="AX11">
        <f t="shared" ca="1" si="1"/>
        <v>0</v>
      </c>
      <c r="AY11">
        <f t="shared" ca="1" si="1"/>
        <v>0</v>
      </c>
      <c r="AZ11">
        <f t="shared" ca="1" si="1"/>
        <v>0</v>
      </c>
      <c r="BA11">
        <f t="shared" ca="1" si="1"/>
        <v>0</v>
      </c>
      <c r="BB11">
        <f t="shared" ca="1" si="1"/>
        <v>0</v>
      </c>
      <c r="BC11">
        <f t="shared" ca="1" si="1"/>
        <v>0</v>
      </c>
      <c r="BD11">
        <f t="shared" ca="1" si="1"/>
        <v>0</v>
      </c>
      <c r="BE11">
        <f t="shared" ca="1" si="1"/>
        <v>0</v>
      </c>
    </row>
    <row r="12" spans="1:57" x14ac:dyDescent="0.45">
      <c r="G12" t="s">
        <v>467</v>
      </c>
      <c r="H12" s="75">
        <v>0.32733705854588779</v>
      </c>
      <c r="I12" s="75">
        <v>2.1192767204152047E-2</v>
      </c>
      <c r="J12" s="75">
        <v>3.7993616262210886E-2</v>
      </c>
      <c r="K12" s="75">
        <v>1.2269246296622318E-2</v>
      </c>
      <c r="L12" s="75">
        <v>6.7911802230916751E-2</v>
      </c>
      <c r="M12" s="75">
        <v>3.1421585207024572E-3</v>
      </c>
      <c r="N12" s="75">
        <v>1.3569915863067888E-2</v>
      </c>
      <c r="O12" s="75">
        <v>1.1235652243393599E-2</v>
      </c>
      <c r="P12" s="75">
        <v>1.9413392140847422E-2</v>
      </c>
      <c r="Q12" s="75">
        <v>1.8053984754166548E-3</v>
      </c>
      <c r="R12" s="75">
        <v>5.3941841568100939E-2</v>
      </c>
      <c r="S12" s="75">
        <v>2.0007893972994514E-3</v>
      </c>
      <c r="T12" s="75">
        <v>1.3165970771752779E-2</v>
      </c>
      <c r="U12" s="75">
        <v>3.7791774492537023E-3</v>
      </c>
      <c r="V12" s="75">
        <v>1.0442721775647397E-2</v>
      </c>
      <c r="W12" s="75">
        <v>1.6831312220506303E-3</v>
      </c>
      <c r="X12" s="75">
        <v>5.6760236409184303E-2</v>
      </c>
      <c r="Y12" s="75">
        <v>1.263923629189007E-3</v>
      </c>
      <c r="Z12" s="75">
        <v>2.4519378431541662E-3</v>
      </c>
      <c r="AA12" s="75">
        <v>6.747855783725081E-4</v>
      </c>
      <c r="AB12" s="75">
        <v>3.9785141998027219E-2</v>
      </c>
      <c r="AC12" s="75">
        <v>1.0304532983630228E-3</v>
      </c>
      <c r="AD12" s="75">
        <v>2.5010746011426203E-3</v>
      </c>
      <c r="AE12" s="75">
        <v>2.940860962386074E-4</v>
      </c>
      <c r="AF12" s="75">
        <v>4.9870940253210075E-3</v>
      </c>
      <c r="AG12" s="75">
        <v>6.3218816662937664E-5</v>
      </c>
      <c r="AH12" s="75">
        <v>7.1468321626623867E-3</v>
      </c>
      <c r="AI12" s="75">
        <v>1.0605857626586827E-4</v>
      </c>
      <c r="AJ12" s="75">
        <v>5.4079117657836861E-3</v>
      </c>
      <c r="AK12" s="75">
        <v>4.2918719257279813E-3</v>
      </c>
      <c r="AL12" s="75">
        <v>7.1360019338162967E-2</v>
      </c>
      <c r="AM12" s="75">
        <v>5.9512595994516801E-4</v>
      </c>
      <c r="AN12" s="75">
        <v>1.9513266481600456E-3</v>
      </c>
      <c r="AO12" s="75">
        <v>9.5550283483798498E-4</v>
      </c>
      <c r="AP12" s="75">
        <v>3.2040522881330788E-3</v>
      </c>
      <c r="AQ12" s="75">
        <v>7.8491859383996018E-4</v>
      </c>
      <c r="AR12" s="75">
        <v>4.4212430349256579E-3</v>
      </c>
      <c r="AS12" s="75">
        <v>5.5295664594045722E-3</v>
      </c>
      <c r="AT12" s="75">
        <v>2.6710553430872174E-3</v>
      </c>
      <c r="AU12" s="75">
        <v>3.3975347548112467E-4</v>
      </c>
      <c r="AV12" s="75">
        <v>2.589994668191058E-2</v>
      </c>
      <c r="AW12" s="75">
        <v>3.0096259937031455E-3</v>
      </c>
      <c r="AX12" s="75">
        <v>8.5225583109984303E-4</v>
      </c>
      <c r="AY12" s="75">
        <v>9.6623977730958056E-4</v>
      </c>
      <c r="AZ12" s="75">
        <v>1.8466883780589708E-3</v>
      </c>
      <c r="BA12" s="75">
        <v>3.9856844266257936E-4</v>
      </c>
      <c r="BB12" s="75">
        <v>9.0151833325388989E-4</v>
      </c>
      <c r="BC12" s="75">
        <v>5.2450372616639075E-4</v>
      </c>
      <c r="BD12" s="75">
        <v>1.5110422679911945E-3</v>
      </c>
      <c r="BE12" s="75">
        <v>5.8068582729310878E-5</v>
      </c>
    </row>
    <row r="13" spans="1:57" x14ac:dyDescent="0.45">
      <c r="A13" t="s">
        <v>457</v>
      </c>
      <c r="C13" t="s">
        <v>469</v>
      </c>
      <c r="D13" t="s">
        <v>466</v>
      </c>
    </row>
    <row r="14" spans="1:57" x14ac:dyDescent="0.45">
      <c r="A14" s="119">
        <f ca="1">$A$11 /$C$14</f>
        <v>5.8113389046219582E-3</v>
      </c>
      <c r="C14" s="6">
        <f ca="1">($D$11+$E$11)-$C$11 + Vehicle!$W$14</f>
        <v>52339.335253643396</v>
      </c>
      <c r="D14" s="6">
        <f ca="1">Vehicle!$U$14 - OFFSET(Vehicle!U17,MATCH(Vehicle!$D$1,Vehicle!$U$18:$U$34,0),MATCH("ICE-CI",Vehicle!$V$17:$AA$17,0)) - $E$11</f>
        <v>903.102046220185</v>
      </c>
      <c r="F14" t="s">
        <v>115</v>
      </c>
      <c r="G14" t="s">
        <v>116</v>
      </c>
      <c r="H14" t="s">
        <v>117</v>
      </c>
      <c r="I14" t="s">
        <v>124</v>
      </c>
      <c r="J14" t="s">
        <v>125</v>
      </c>
      <c r="K14" t="s">
        <v>118</v>
      </c>
      <c r="L14" t="s">
        <v>138</v>
      </c>
    </row>
    <row r="15" spans="1:57" x14ac:dyDescent="0.45">
      <c r="E15" t="s">
        <v>455</v>
      </c>
      <c r="F15">
        <v>38000</v>
      </c>
      <c r="G15">
        <v>38000</v>
      </c>
      <c r="H15">
        <v>15000</v>
      </c>
      <c r="I15">
        <v>11000</v>
      </c>
      <c r="J15">
        <v>5800</v>
      </c>
      <c r="K15">
        <v>8800</v>
      </c>
      <c r="L15">
        <v>27000</v>
      </c>
    </row>
    <row r="18" spans="1:32" x14ac:dyDescent="0.45">
      <c r="A18" t="s">
        <v>461</v>
      </c>
      <c r="B18" s="11">
        <f ca="1">$A$21*VMT!B4 * SUM(Dashboard!$O$14:$O$15,Dashboard!$O$18)  *  Dashboard!$K$11</f>
        <v>0</v>
      </c>
      <c r="C18" s="11">
        <f ca="1">$A$21*VMT!C4 * SUM(Dashboard!$O$14:$O$15,Dashboard!$O$18)  *  Dashboard!$K$11</f>
        <v>0</v>
      </c>
      <c r="D18" s="11">
        <f ca="1">$A$21*VMT!D4 * SUM(Dashboard!$O$14:$O$15,Dashboard!$O$18)  *  Dashboard!$K$11</f>
        <v>0</v>
      </c>
      <c r="E18" s="11">
        <f ca="1">$A$21*VMT!E4 * SUM(Dashboard!$O$14:$O$15,Dashboard!$O$18)  *  Dashboard!$K$11</f>
        <v>0</v>
      </c>
      <c r="F18" s="11">
        <f ca="1">$A$21*VMT!F4 * SUM(Dashboard!$O$14:$O$15,Dashboard!$O$18)  *  Dashboard!$K$11</f>
        <v>0</v>
      </c>
      <c r="G18" s="11">
        <f ca="1">$A$21*VMT!G4 * SUM(Dashboard!$O$14:$O$15,Dashboard!$O$18)  *  Dashboard!$K$11</f>
        <v>0</v>
      </c>
      <c r="H18" s="11">
        <f ca="1">$A$21*VMT!H4 * SUM(Dashboard!$O$14:$O$15,Dashboard!$O$18)  *  Dashboard!$K$11</f>
        <v>0</v>
      </c>
      <c r="I18" s="11">
        <f ca="1">$A$21*VMT!I4 * SUM(Dashboard!$O$14:$O$15,Dashboard!$O$18)  *  Dashboard!$K$11</f>
        <v>0</v>
      </c>
      <c r="J18" s="11">
        <f ca="1">$A$21*VMT!J4 * SUM(Dashboard!$O$14:$O$15,Dashboard!$O$18)  *  Dashboard!$K$11</f>
        <v>0</v>
      </c>
      <c r="K18" s="11">
        <f ca="1">$A$21*VMT!K4 * SUM(Dashboard!$O$14:$O$15,Dashboard!$O$18)  *  Dashboard!$K$11</f>
        <v>0</v>
      </c>
      <c r="L18" s="11">
        <f ca="1">$A$21*VMT!L4 * SUM(Dashboard!$O$14:$O$15,Dashboard!$O$18)  *  Dashboard!$K$11</f>
        <v>0</v>
      </c>
      <c r="M18" s="11">
        <f ca="1">$A$21*VMT!M4 * SUM(Dashboard!$O$14:$O$15,Dashboard!$O$18)  *  Dashboard!$K$11</f>
        <v>0</v>
      </c>
      <c r="N18" s="11">
        <f ca="1">$A$21*VMT!N4 * SUM(Dashboard!$O$14:$O$15,Dashboard!$O$18)  *  Dashboard!$K$11</f>
        <v>0</v>
      </c>
      <c r="O18" s="11">
        <f ca="1">$A$21*VMT!O4 * SUM(Dashboard!$O$14:$O$15,Dashboard!$O$18)  *  Dashboard!$K$11</f>
        <v>0</v>
      </c>
      <c r="P18" s="11">
        <f ca="1">$A$21*VMT!P4 * SUM(Dashboard!$O$14:$O$15,Dashboard!$O$18)  *  Dashboard!$K$11</f>
        <v>0</v>
      </c>
      <c r="Q18" s="11">
        <f ca="1">$A$21*VMT!Q4 * SUM(Dashboard!$O$14:$O$15,Dashboard!$O$18)  *  Dashboard!$K$11</f>
        <v>0</v>
      </c>
      <c r="R18" s="11">
        <f ca="1">$A$21*VMT!R4 * SUM(Dashboard!$O$14:$O$15,Dashboard!$O$18)  *  Dashboard!$K$11</f>
        <v>0</v>
      </c>
      <c r="S18" s="11">
        <f ca="1">$A$21*VMT!S4 * SUM(Dashboard!$O$14:$O$15,Dashboard!$O$18)  *  Dashboard!$K$11</f>
        <v>0</v>
      </c>
      <c r="T18" s="11">
        <f ca="1">$A$21*VMT!T4 * SUM(Dashboard!$O$14:$O$15,Dashboard!$O$18)  *  Dashboard!$K$11</f>
        <v>0</v>
      </c>
      <c r="U18" s="11">
        <f ca="1">$A$21*VMT!U4 * SUM(Dashboard!$O$14:$O$15,Dashboard!$O$18)  *  Dashboard!$K$11</f>
        <v>0</v>
      </c>
      <c r="V18" s="11">
        <f ca="1">$A$21*VMT!V4 * SUM(Dashboard!$O$14:$O$15,Dashboard!$O$18)  *  Dashboard!$K$11</f>
        <v>0</v>
      </c>
      <c r="W18" s="11">
        <f ca="1">$A$21*VMT!W4 * SUM(Dashboard!$O$14:$O$15,Dashboard!$O$18)  *  Dashboard!$K$11</f>
        <v>0</v>
      </c>
      <c r="X18" s="11">
        <f ca="1">$A$21*VMT!X4 * SUM(Dashboard!$O$14:$O$15,Dashboard!$O$18)  *  Dashboard!$K$11</f>
        <v>0</v>
      </c>
      <c r="Y18" s="11">
        <f ca="1">$A$21*VMT!Y4 * SUM(Dashboard!$O$14:$O$15,Dashboard!$O$18)  *  Dashboard!$K$11</f>
        <v>0</v>
      </c>
      <c r="Z18" s="11">
        <f ca="1">$A$21*VMT!Z4 * SUM(Dashboard!$O$14:$O$15,Dashboard!$O$18)  *  Dashboard!$K$11</f>
        <v>0</v>
      </c>
      <c r="AA18" s="11">
        <f ca="1">$A$21*VMT!AA4 * SUM(Dashboard!$O$14:$O$15,Dashboard!$O$18)  *  Dashboard!$K$11</f>
        <v>0</v>
      </c>
      <c r="AB18" s="11">
        <f ca="1">$A$21*VMT!AB4 * SUM(Dashboard!$O$14:$O$15,Dashboard!$O$18)  *  Dashboard!$K$11</f>
        <v>0</v>
      </c>
      <c r="AC18" s="11">
        <f ca="1">$A$21*VMT!AC4 * SUM(Dashboard!$O$14:$O$15,Dashboard!$O$18)  *  Dashboard!$K$11</f>
        <v>0</v>
      </c>
      <c r="AD18" s="11">
        <f ca="1">$A$21*VMT!AD4 * SUM(Dashboard!$O$14:$O$15,Dashboard!$O$18)  *  Dashboard!$K$11</f>
        <v>0</v>
      </c>
      <c r="AE18" s="11">
        <f ca="1">$A$21*VMT!AE4 * SUM(Dashboard!$O$14:$O$15,Dashboard!$O$18)  *  Dashboard!$K$11</f>
        <v>0</v>
      </c>
      <c r="AF18" s="11">
        <f ca="1">$A$21*VMT!AF4 * SUM(Dashboard!$O$14:$O$15,Dashboard!$O$18)  *  Dashboard!$K$11</f>
        <v>0</v>
      </c>
    </row>
    <row r="20" spans="1:32" x14ac:dyDescent="0.45">
      <c r="A20" t="s">
        <v>462</v>
      </c>
    </row>
    <row r="21" spans="1:32" x14ac:dyDescent="0.45">
      <c r="A21" s="18">
        <v>0.1048</v>
      </c>
    </row>
    <row r="23" spans="1:32" x14ac:dyDescent="0.45">
      <c r="A23" t="s">
        <v>459</v>
      </c>
      <c r="B23" s="14">
        <f ca="1">$A$25*VMT!B4 * Dashboard!$K$19 * IF($B$1="PHEV",Vehicle!$Y$14,  IF($B$1="BEV", 1, 0))</f>
        <v>0</v>
      </c>
      <c r="C23" s="14">
        <f ca="1">$A$25*VMT!C4 * Dashboard!$K$19 * IF($B$1="PHEV",Vehicle!$Y$14,  IF($B$1="BEV", 1, 0))</f>
        <v>89744.015824787202</v>
      </c>
      <c r="D23" s="14">
        <f ca="1">$A$25*VMT!D4 * Dashboard!$K$19 * IF($B$1="PHEV",Vehicle!$Y$14,  IF($B$1="BEV", 1, 0))</f>
        <v>89064.951046250484</v>
      </c>
      <c r="E23" s="14">
        <f ca="1">$A$25*VMT!E4 * Dashboard!$K$19 * IF($B$1="PHEV",Vehicle!$Y$14,  IF($B$1="BEV", 1, 0))</f>
        <v>86733.663419501274</v>
      </c>
      <c r="F23" s="14">
        <f ca="1">$A$25*VMT!F4 * Dashboard!$K$19 * IF($B$1="PHEV",Vehicle!$Y$14,  IF($B$1="BEV", 1, 0))</f>
        <v>83000.055896248945</v>
      </c>
      <c r="G23" s="14">
        <f ca="1">$A$25*VMT!G4 * Dashboard!$K$19 * IF($B$1="PHEV",Vehicle!$Y$14,  IF($B$1="BEV", 1, 0))</f>
        <v>74453.92849688507</v>
      </c>
      <c r="H23" s="14">
        <f ca="1">$A$25*VMT!H4 * Dashboard!$K$19 * IF($B$1="PHEV",Vehicle!$Y$14,  IF($B$1="BEV", 1, 0))</f>
        <v>66787.755848605389</v>
      </c>
      <c r="I23" s="14">
        <f ca="1">$A$25*VMT!I4 * Dashboard!$K$19 * IF($B$1="PHEV",Vehicle!$Y$14,  IF($B$1="BEV", 1, 0))</f>
        <v>59910.933127988566</v>
      </c>
      <c r="J23" s="14">
        <f ca="1">$A$25*VMT!J4 * Dashboard!$K$19 * IF($B$1="PHEV",Vehicle!$Y$14,  IF($B$1="BEV", 1, 0))</f>
        <v>53742.184666342058</v>
      </c>
      <c r="K23" s="14">
        <f ca="1">$A$25*VMT!K4 * Dashboard!$K$19 * IF($B$1="PHEV",Vehicle!$Y$14,  IF($B$1="BEV", 1, 0))</f>
        <v>48208.603370290715</v>
      </c>
      <c r="L23" s="14">
        <f ca="1">$A$25*VMT!L4 * Dashboard!$K$19 * IF($B$1="PHEV",Vehicle!$Y$14,  IF($B$1="BEV", 1, 0))</f>
        <v>43244.789048732811</v>
      </c>
      <c r="M23" s="14">
        <f ca="1">$A$25*VMT!M4 * Dashboard!$K$19 * IF($B$1="PHEV",Vehicle!$Y$14,  IF($B$1="BEV", 1, 0))</f>
        <v>38792.075462237626</v>
      </c>
      <c r="N23" s="14">
        <f ca="1">$A$25*VMT!N4 * Dashboard!$K$19 * IF($B$1="PHEV",Vehicle!$Y$14,  IF($B$1="BEV", 1, 0))</f>
        <v>35084.136711019761</v>
      </c>
      <c r="O23" s="14">
        <f ca="1">$A$25*VMT!O4 * Dashboard!$K$19 * IF($B$1="PHEV",Vehicle!$Y$14,  IF($B$1="BEV", 1, 0))</f>
        <v>31730.621115019956</v>
      </c>
      <c r="P23" s="14">
        <f ca="1">$A$25*VMT!P4 * Dashboard!$K$19 * IF($B$1="PHEV",Vehicle!$Y$14,  IF($B$1="BEV", 1, 0))</f>
        <v>28697.651153226441</v>
      </c>
      <c r="Q23" s="14">
        <f ca="1">$A$25*VMT!Q4 * Dashboard!$K$19 * IF($B$1="PHEV",Vehicle!$Y$14,  IF($B$1="BEV", 1, 0))</f>
        <v>25954.587485917251</v>
      </c>
      <c r="R23" s="14">
        <f ca="1">$A$25*VMT!R4 * Dashboard!$K$19 * IF($B$1="PHEV",Vehicle!$Y$14,  IF($B$1="BEV", 1, 0))</f>
        <v>23473.719433250408</v>
      </c>
      <c r="S23" s="14">
        <f ca="1">$A$25*VMT!S4 * Dashboard!$K$19 * IF($B$1="PHEV",Vehicle!$Y$14,  IF($B$1="BEV", 1, 0))</f>
        <v>21229.985039443774</v>
      </c>
      <c r="T23" s="14">
        <f ca="1">$A$25*VMT!T4 * Dashboard!$K$19 * IF($B$1="PHEV",Vehicle!$Y$14,  IF($B$1="BEV", 1, 0))</f>
        <v>19099.254537365665</v>
      </c>
      <c r="U23" s="14">
        <f ca="1">$A$25*VMT!U4 * Dashboard!$K$19 * IF($B$1="PHEV",Vehicle!$Y$14,  IF($B$1="BEV", 1, 0))</f>
        <v>17182.373101316145</v>
      </c>
      <c r="V23" s="14">
        <f ca="1">$A$25*VMT!V4 * Dashboard!$K$19 * IF($B$1="PHEV",Vehicle!$Y$14,  IF($B$1="BEV", 1, 0))</f>
        <v>15457.87794048395</v>
      </c>
      <c r="W23" s="14">
        <f ca="1">$A$25*VMT!W4 * Dashboard!$K$19 * IF($B$1="PHEV",Vehicle!$Y$14,  IF($B$1="BEV", 1, 0))</f>
        <v>13906.460359925333</v>
      </c>
      <c r="X23" s="14">
        <f ca="1">$A$25*VMT!X4 * Dashboard!$K$19 * IF($B$1="PHEV",Vehicle!$Y$14,  IF($B$1="BEV", 1, 0))</f>
        <v>12510.749566451814</v>
      </c>
      <c r="Y23" s="14">
        <f ca="1">$A$25*VMT!Y4 * Dashboard!$K$19 * IF($B$1="PHEV",Vehicle!$Y$14,  IF($B$1="BEV", 1, 0))</f>
        <v>11255.118172667384</v>
      </c>
      <c r="Z23" s="14">
        <f ca="1">$A$25*VMT!Z4 * Dashboard!$K$19 * IF($B$1="PHEV",Vehicle!$Y$14,  IF($B$1="BEV", 1, 0))</f>
        <v>10125.507221437796</v>
      </c>
      <c r="AA23" s="14">
        <f ca="1">$A$25*VMT!AA4 * Dashboard!$K$19 * IF($B$1="PHEV",Vehicle!$Y$14,  IF($B$1="BEV", 1, 0))</f>
        <v>9109.2687716392975</v>
      </c>
      <c r="AB23" s="14">
        <f ca="1">$A$25*VMT!AB4 * Dashboard!$K$19 * IF($B$1="PHEV",Vehicle!$Y$14,  IF($B$1="BEV", 1, 0))</f>
        <v>8195.0242826630601</v>
      </c>
      <c r="AC23" s="14">
        <f ca="1">$A$25*VMT!AC4 * Dashboard!$K$19 * IF($B$1="PHEV",Vehicle!$Y$14,  IF($B$1="BEV", 1, 0))</f>
        <v>7372.5372120457723</v>
      </c>
      <c r="AD23" s="14">
        <f ca="1">$A$25*VMT!AD4 * Dashboard!$K$19 * IF($B$1="PHEV",Vehicle!$Y$14,  IF($B$1="BEV", 1, 0))</f>
        <v>6632.5983997373396</v>
      </c>
      <c r="AE23" s="14">
        <f ca="1">$A$25*VMT!AE4 * Dashboard!$K$19 * IF($B$1="PHEV",Vehicle!$Y$14,  IF($B$1="BEV", 1, 0))</f>
        <v>5966.9229556850687</v>
      </c>
      <c r="AF23" s="14">
        <f ca="1">$A$25*VMT!AF4 * Dashboard!$K$19 * IF($B$1="PHEV",Vehicle!$Y$14,  IF($B$1="BEV", 1, 0))</f>
        <v>5368.0574962131604</v>
      </c>
    </row>
    <row r="24" spans="1:32" x14ac:dyDescent="0.45">
      <c r="A24" t="s">
        <v>88</v>
      </c>
    </row>
    <row r="25" spans="1:32" x14ac:dyDescent="0.45">
      <c r="A25" s="115">
        <f ca="1">((37.95/Vehicle!$M$14) / $C$26) * $A$29</f>
        <v>1.2121137742291668</v>
      </c>
      <c r="C25" t="s">
        <v>448</v>
      </c>
    </row>
    <row r="26" spans="1:32" x14ac:dyDescent="0.45">
      <c r="C26" s="116">
        <f>IF('Fuel Prices'!A9=Lists!$H$9, 450, 50)</f>
        <v>50</v>
      </c>
      <c r="D26" t="s">
        <v>449</v>
      </c>
    </row>
    <row r="28" spans="1:32" x14ac:dyDescent="0.45">
      <c r="A28" t="s">
        <v>447</v>
      </c>
    </row>
    <row r="29" spans="1:32" x14ac:dyDescent="0.45">
      <c r="A29" s="15">
        <v>30</v>
      </c>
    </row>
    <row r="32" spans="1:32" x14ac:dyDescent="0.45">
      <c r="A32" t="s">
        <v>398</v>
      </c>
    </row>
    <row r="33" spans="1:10" x14ac:dyDescent="0.45">
      <c r="A33" s="117">
        <v>0.789968</v>
      </c>
      <c r="B33" t="s">
        <v>431</v>
      </c>
    </row>
    <row r="36" spans="1:10" x14ac:dyDescent="0.45">
      <c r="A36" s="57" t="s">
        <v>222</v>
      </c>
      <c r="D36" t="s">
        <v>443</v>
      </c>
    </row>
    <row r="37" spans="1:10" x14ac:dyDescent="0.45">
      <c r="A37" s="4" t="b">
        <v>0</v>
      </c>
      <c r="D37" t="s">
        <v>42</v>
      </c>
      <c r="E37" t="s">
        <v>43</v>
      </c>
      <c r="F37" t="s">
        <v>427</v>
      </c>
      <c r="G37" t="s">
        <v>44</v>
      </c>
      <c r="H37" t="s">
        <v>45</v>
      </c>
      <c r="I37" t="s">
        <v>46</v>
      </c>
      <c r="J37" t="s">
        <v>444</v>
      </c>
    </row>
    <row r="38" spans="1:10" x14ac:dyDescent="0.45">
      <c r="D38" s="114">
        <v>0</v>
      </c>
      <c r="E38" s="114">
        <v>0</v>
      </c>
      <c r="F38" s="114">
        <v>0</v>
      </c>
      <c r="G38" s="114">
        <v>0</v>
      </c>
      <c r="H38" s="114">
        <v>0.03</v>
      </c>
      <c r="I38" s="114">
        <v>0.03</v>
      </c>
      <c r="J38" s="6">
        <f>IF(Dashboard!$B$4&gt;10, 1+$A$37*INDEX(D38:I38, 1, MATCH(Dashboard!$B$20,Operation!$D$37:$I$37,0)), 1)</f>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AL57"/>
  <sheetViews>
    <sheetView workbookViewId="0">
      <selection activeCell="A8" sqref="A8"/>
    </sheetView>
  </sheetViews>
  <sheetFormatPr defaultRowHeight="14.25" x14ac:dyDescent="0.45"/>
  <sheetData>
    <row r="3" spans="1:38"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c r="AG3">
        <v>31</v>
      </c>
      <c r="AH3">
        <v>32</v>
      </c>
      <c r="AI3">
        <v>33</v>
      </c>
      <c r="AJ3">
        <v>34</v>
      </c>
      <c r="AK3">
        <v>35</v>
      </c>
    </row>
    <row r="4" spans="1:38" x14ac:dyDescent="0.45">
      <c r="A4" t="s">
        <v>14</v>
      </c>
      <c r="B4">
        <f ca="1">OFFSET(B7,MATCH(Dashboard!$K$3,Lists!$L$6:$L$44, 0), 0) * (Operation!$J$38)</f>
        <v>0</v>
      </c>
      <c r="C4">
        <f ca="1">OFFSET(C7,MATCH(Dashboard!$K$3,Lists!$L$6:$L$46, 0), 0) * (Operation!$J$38)</f>
        <v>74039.267379713696</v>
      </c>
      <c r="D4">
        <f ca="1">OFFSET(D7,MATCH(Dashboard!$K$3,Lists!$L$6:$L$46, 0), 0) * (Operation!$J$38)</f>
        <v>73479.035499691905</v>
      </c>
      <c r="E4">
        <f ca="1">OFFSET(E7,MATCH(Dashboard!$K$3,Lists!$L$6:$L$46, 0), 0) * (Operation!$J$38)</f>
        <v>71555.711405605296</v>
      </c>
      <c r="F4">
        <f ca="1">OFFSET(F7,MATCH(Dashboard!$K$3,Lists!$L$6:$L$46, 0), 0) * (Operation!$J$38)</f>
        <v>68475.466297734398</v>
      </c>
      <c r="G4">
        <f ca="1">OFFSET(G7,MATCH(Dashboard!$K$3,Lists!$L$6:$L$46, 0), 0) * (Operation!$J$38)</f>
        <v>61424.867928947846</v>
      </c>
      <c r="H4">
        <f ca="1">OFFSET(H7,MATCH(Dashboard!$K$3,Lists!$L$6:$L$46, 0), 0) * (Operation!$J$38)</f>
        <v>55100.23668452946</v>
      </c>
      <c r="I4">
        <f ca="1">OFFSET(I7,MATCH(Dashboard!$K$3,Lists!$L$6:$L$46, 0), 0) * (Operation!$J$38)</f>
        <v>49426.823126474577</v>
      </c>
      <c r="J4">
        <f ca="1">OFFSET(J7,MATCH(Dashboard!$K$3,Lists!$L$6:$L$46, 0), 0) * (Operation!$J$38)</f>
        <v>44337.57441665815</v>
      </c>
      <c r="K4">
        <f ca="1">OFFSET(K7,MATCH(Dashboard!$K$3,Lists!$L$6:$L$46, 0), 0) * (Operation!$J$38)</f>
        <v>39772.341833957427</v>
      </c>
      <c r="L4">
        <f ca="1">OFFSET(L7,MATCH(Dashboard!$K$3,Lists!$L$6:$L$46, 0), 0) * (Operation!$J$38)</f>
        <v>35677.169889628523</v>
      </c>
      <c r="M4">
        <f ca="1">OFFSET(M7,MATCH(Dashboard!$K$3,Lists!$L$6:$L$46, 0), 0) * (Operation!$J$38)</f>
        <v>32003.658639146401</v>
      </c>
      <c r="N4">
        <f ca="1">OFFSET(N7,MATCH(Dashboard!$K$3,Lists!$L$6:$L$46, 0), 0) * (Operation!$J$38)</f>
        <v>28944.590398150714</v>
      </c>
      <c r="O4">
        <f ca="1">OFFSET(O7,MATCH(Dashboard!$K$3,Lists!$L$6:$L$46, 0), 0) * (Operation!$J$38)</f>
        <v>26177.923054458126</v>
      </c>
      <c r="P4">
        <f ca="1">OFFSET(P7,MATCH(Dashboard!$K$3,Lists!$L$6:$L$46, 0), 0) * (Operation!$J$38)</f>
        <v>23675.707481730798</v>
      </c>
      <c r="Q4">
        <f ca="1">OFFSET(Q7,MATCH(Dashboard!$K$3,Lists!$L$6:$L$46, 0), 0) * (Operation!$J$38)</f>
        <v>21412.6660695881</v>
      </c>
      <c r="R4">
        <f ca="1">OFFSET(R7,MATCH(Dashboard!$K$3,Lists!$L$6:$L$46, 0), 0) * (Operation!$J$38)</f>
        <v>19365.937366876566</v>
      </c>
      <c r="S4">
        <f ca="1">OFFSET(S7,MATCH(Dashboard!$K$3,Lists!$L$6:$L$46, 0), 0) * (Operation!$J$38)</f>
        <v>17514.845133201128</v>
      </c>
      <c r="T4">
        <f ca="1">OFFSET(T7,MATCH(Dashboard!$K$3,Lists!$L$6:$L$46, 0), 0) * (Operation!$J$38)</f>
        <v>15756.981682277861</v>
      </c>
      <c r="U4">
        <f ca="1">OFFSET(U7,MATCH(Dashboard!$K$3,Lists!$L$6:$L$46, 0), 0) * (Operation!$J$38)</f>
        <v>14175.544793427604</v>
      </c>
      <c r="V4">
        <f ca="1">OFFSET(V7,MATCH(Dashboard!$K$3,Lists!$L$6:$L$46, 0), 0) * (Operation!$J$38)</f>
        <v>12752.827555576829</v>
      </c>
      <c r="W4">
        <f ca="1">OFFSET(W7,MATCH(Dashboard!$K$3,Lists!$L$6:$L$46, 0), 0) * (Operation!$J$38)</f>
        <v>11472.900197647721</v>
      </c>
      <c r="X4">
        <f ca="1">OFFSET(X7,MATCH(Dashboard!$K$3,Lists!$L$6:$L$46, 0), 0) * (Operation!$J$38)</f>
        <v>10321.431727321073</v>
      </c>
      <c r="Y4">
        <f ca="1">OFFSET(Y7,MATCH(Dashboard!$K$3,Lists!$L$6:$L$46, 0), 0) * (Operation!$J$38)</f>
        <v>9285.5294708823676</v>
      </c>
      <c r="Z4">
        <f ca="1">OFFSET(Z7,MATCH(Dashboard!$K$3,Lists!$L$6:$L$46, 0), 0) * (Operation!$J$38)</f>
        <v>8353.594717523134</v>
      </c>
      <c r="AA4">
        <f ca="1">OFFSET(AA7,MATCH(Dashboard!$K$3,Lists!$L$6:$L$46, 0), 0) * (Operation!$J$38)</f>
        <v>7515.1928517867536</v>
      </c>
      <c r="AB4">
        <f ca="1">OFFSET(AB7,MATCH(Dashboard!$K$3,Lists!$L$6:$L$46, 0), 0) * (Operation!$J$38)</f>
        <v>6760.936520067693</v>
      </c>
      <c r="AC4">
        <f ca="1">OFFSET(AC7,MATCH(Dashboard!$K$3,Lists!$L$6:$L$46, 0), 0) * (Operation!$J$38)</f>
        <v>6082.3805230117723</v>
      </c>
      <c r="AD4">
        <f ca="1">OFFSET(AD7,MATCH(Dashboard!$K$3,Lists!$L$6:$L$46, 0), 0) * (Operation!$J$38)</f>
        <v>5471.9272569567847</v>
      </c>
      <c r="AE4">
        <f ca="1">OFFSET(AE7,MATCH(Dashboard!$K$3,Lists!$L$6:$L$46, 0), 0) * (Operation!$J$38)</f>
        <v>4922.7416456674473</v>
      </c>
      <c r="AF4">
        <f ca="1">OFFSET(AF7,MATCH(Dashboard!$K$3,Lists!$L$6:$L$46, 0), 0) * (Operation!$J$38)</f>
        <v>4428.6746098788708</v>
      </c>
    </row>
    <row r="5" spans="1:38" x14ac:dyDescent="0.45">
      <c r="A5" t="s">
        <v>15</v>
      </c>
      <c r="B5">
        <f ca="1">SUM($B$4:B4)</f>
        <v>0</v>
      </c>
      <c r="C5">
        <f ca="1">SUM($B$4:C4)</f>
        <v>74039.267379713696</v>
      </c>
      <c r="D5">
        <f ca="1">SUM($B$4:D4)</f>
        <v>147518.30287940562</v>
      </c>
      <c r="E5">
        <f ca="1">SUM($B$4:E4)</f>
        <v>219074.01428501093</v>
      </c>
      <c r="F5">
        <f ca="1">SUM($B$4:F4)</f>
        <v>287549.48058274534</v>
      </c>
      <c r="G5">
        <f ca="1">SUM($B$4:G4)</f>
        <v>348974.34851169318</v>
      </c>
      <c r="H5">
        <f ca="1">SUM($B$4:H4)</f>
        <v>404074.58519622264</v>
      </c>
      <c r="I5">
        <f ca="1">SUM($B$4:I4)</f>
        <v>453501.40832269721</v>
      </c>
      <c r="J5">
        <f ca="1">SUM($B$4:J4)</f>
        <v>497838.98273935536</v>
      </c>
      <c r="K5">
        <f ca="1">SUM($B$4:K4)</f>
        <v>537611.32457331277</v>
      </c>
      <c r="L5">
        <f ca="1">SUM($B$4:L4)</f>
        <v>573288.49446294131</v>
      </c>
      <c r="M5">
        <f ca="1">SUM($B$4:M4)</f>
        <v>605292.15310208767</v>
      </c>
      <c r="N5">
        <f ca="1">SUM($B$4:N4)</f>
        <v>634236.7435002384</v>
      </c>
      <c r="O5">
        <f ca="1">SUM($B$4:O4)</f>
        <v>660414.66655469651</v>
      </c>
      <c r="P5">
        <f ca="1">SUM($B$4:P4)</f>
        <v>684090.37403642735</v>
      </c>
      <c r="Q5">
        <f ca="1">SUM($B$4:Q4)</f>
        <v>705503.04010601551</v>
      </c>
      <c r="R5">
        <f ca="1">SUM($B$4:R4)</f>
        <v>724868.97747289203</v>
      </c>
      <c r="S5">
        <f ca="1">SUM($B$4:S4)</f>
        <v>742383.82260609313</v>
      </c>
      <c r="T5">
        <f ca="1">SUM($B$4:T4)</f>
        <v>758140.804288371</v>
      </c>
      <c r="U5">
        <f ca="1">SUM($B$4:U4)</f>
        <v>772316.34908179857</v>
      </c>
      <c r="V5">
        <f ca="1">SUM($B$4:V4)</f>
        <v>785069.17663737538</v>
      </c>
      <c r="W5">
        <f ca="1">SUM($B$4:W4)</f>
        <v>796542.07683502312</v>
      </c>
      <c r="X5">
        <f ca="1">SUM($B$4:X4)</f>
        <v>806863.50856234424</v>
      </c>
      <c r="Y5">
        <f ca="1">SUM($B$4:Y4)</f>
        <v>816149.03803322662</v>
      </c>
      <c r="Z5">
        <f ca="1">SUM($B$4:Z4)</f>
        <v>824502.6327507497</v>
      </c>
      <c r="AA5">
        <f ca="1">SUM($B$4:AA4)</f>
        <v>832017.82560253644</v>
      </c>
      <c r="AB5">
        <f ca="1">SUM($B$4:AB4)</f>
        <v>838778.76212260418</v>
      </c>
      <c r="AC5">
        <f ca="1">SUM($B$4:AC4)</f>
        <v>844861.14264561597</v>
      </c>
      <c r="AD5">
        <f ca="1">SUM($B$4:AD4)</f>
        <v>850333.06990257278</v>
      </c>
      <c r="AE5">
        <f ca="1">SUM($B$4:AE4)</f>
        <v>855255.81154824025</v>
      </c>
      <c r="AF5">
        <f ca="1">SUM($B$4:AF4)</f>
        <v>859684.48615811917</v>
      </c>
    </row>
    <row r="7" spans="1:38" x14ac:dyDescent="0.45">
      <c r="A7" s="1" t="s">
        <v>72</v>
      </c>
    </row>
    <row r="8" spans="1:38" x14ac:dyDescent="0.45">
      <c r="A8" t="str">
        <f>CONCATENATE("Constant VMT - ", C8)</f>
        <v>Constant VMT - 12000</v>
      </c>
      <c r="C8" s="2">
        <v>12000</v>
      </c>
      <c r="D8">
        <f>C8</f>
        <v>12000</v>
      </c>
      <c r="E8">
        <f t="shared" ref="E8:AF8" si="0">D8</f>
        <v>12000</v>
      </c>
      <c r="F8">
        <f t="shared" si="0"/>
        <v>12000</v>
      </c>
      <c r="G8">
        <f t="shared" si="0"/>
        <v>12000</v>
      </c>
      <c r="H8">
        <f t="shared" si="0"/>
        <v>12000</v>
      </c>
      <c r="I8">
        <f t="shared" si="0"/>
        <v>12000</v>
      </c>
      <c r="J8">
        <f t="shared" si="0"/>
        <v>12000</v>
      </c>
      <c r="K8">
        <f t="shared" si="0"/>
        <v>12000</v>
      </c>
      <c r="L8">
        <f t="shared" si="0"/>
        <v>12000</v>
      </c>
      <c r="M8">
        <f t="shared" si="0"/>
        <v>12000</v>
      </c>
      <c r="N8">
        <f t="shared" si="0"/>
        <v>12000</v>
      </c>
      <c r="O8">
        <f t="shared" si="0"/>
        <v>12000</v>
      </c>
      <c r="P8">
        <f t="shared" si="0"/>
        <v>12000</v>
      </c>
      <c r="Q8">
        <f t="shared" si="0"/>
        <v>12000</v>
      </c>
      <c r="R8">
        <f t="shared" si="0"/>
        <v>12000</v>
      </c>
      <c r="S8">
        <f t="shared" si="0"/>
        <v>12000</v>
      </c>
      <c r="T8">
        <f t="shared" si="0"/>
        <v>12000</v>
      </c>
      <c r="U8">
        <f t="shared" si="0"/>
        <v>12000</v>
      </c>
      <c r="V8">
        <f t="shared" si="0"/>
        <v>12000</v>
      </c>
      <c r="W8">
        <f t="shared" si="0"/>
        <v>12000</v>
      </c>
      <c r="X8">
        <f t="shared" si="0"/>
        <v>12000</v>
      </c>
      <c r="Y8">
        <f t="shared" si="0"/>
        <v>12000</v>
      </c>
      <c r="Z8">
        <f t="shared" si="0"/>
        <v>12000</v>
      </c>
      <c r="AA8">
        <f t="shared" si="0"/>
        <v>12000</v>
      </c>
      <c r="AB8">
        <f t="shared" si="0"/>
        <v>12000</v>
      </c>
      <c r="AC8">
        <f t="shared" si="0"/>
        <v>12000</v>
      </c>
      <c r="AD8">
        <f t="shared" si="0"/>
        <v>12000</v>
      </c>
      <c r="AE8">
        <f t="shared" si="0"/>
        <v>12000</v>
      </c>
      <c r="AF8">
        <f t="shared" si="0"/>
        <v>12000</v>
      </c>
      <c r="AG8">
        <f t="shared" ref="AG8" si="1">AF8</f>
        <v>12000</v>
      </c>
      <c r="AH8">
        <f t="shared" ref="AH8" si="2">AG8</f>
        <v>12000</v>
      </c>
      <c r="AI8">
        <f t="shared" ref="AI8" si="3">AH8</f>
        <v>12000</v>
      </c>
      <c r="AJ8">
        <f t="shared" ref="AJ8" si="4">AI8</f>
        <v>12000</v>
      </c>
      <c r="AK8">
        <f t="shared" ref="AK8" si="5">AJ8</f>
        <v>12000</v>
      </c>
    </row>
    <row r="9" spans="1:38" x14ac:dyDescent="0.45">
      <c r="A9" t="s">
        <v>74</v>
      </c>
      <c r="C9">
        <v>13843</v>
      </c>
      <c r="D9">
        <v>13580</v>
      </c>
      <c r="E9">
        <v>13296</v>
      </c>
      <c r="F9">
        <v>12992</v>
      </c>
      <c r="G9">
        <v>12672</v>
      </c>
      <c r="H9">
        <v>12337</v>
      </c>
      <c r="I9">
        <v>11989</v>
      </c>
      <c r="J9">
        <v>11630</v>
      </c>
      <c r="K9">
        <v>11262</v>
      </c>
      <c r="L9">
        <v>10887</v>
      </c>
      <c r="M9">
        <v>10509</v>
      </c>
      <c r="N9">
        <v>10129</v>
      </c>
      <c r="O9">
        <v>9748</v>
      </c>
      <c r="P9">
        <v>9370</v>
      </c>
      <c r="Q9">
        <v>8997</v>
      </c>
      <c r="R9">
        <v>8629</v>
      </c>
      <c r="S9">
        <v>8270</v>
      </c>
      <c r="T9">
        <v>7922</v>
      </c>
      <c r="U9">
        <v>7586</v>
      </c>
      <c r="V9">
        <v>7265</v>
      </c>
      <c r="W9">
        <v>6962</v>
      </c>
      <c r="X9">
        <v>6679</v>
      </c>
      <c r="Y9">
        <v>6416</v>
      </c>
      <c r="Z9">
        <v>6177</v>
      </c>
      <c r="AA9">
        <v>5963</v>
      </c>
      <c r="AB9">
        <v>5778</v>
      </c>
      <c r="AC9">
        <v>5623</v>
      </c>
      <c r="AD9">
        <v>5499</v>
      </c>
      <c r="AE9">
        <v>5410</v>
      </c>
      <c r="AF9">
        <v>5358</v>
      </c>
    </row>
    <row r="10" spans="1:38" x14ac:dyDescent="0.45">
      <c r="A10" t="s">
        <v>75</v>
      </c>
      <c r="C10">
        <v>15962</v>
      </c>
      <c r="D10">
        <v>15670</v>
      </c>
      <c r="E10">
        <v>15320</v>
      </c>
      <c r="F10">
        <v>15098</v>
      </c>
      <c r="G10">
        <v>14528</v>
      </c>
      <c r="H10">
        <v>14081</v>
      </c>
      <c r="I10">
        <v>13548</v>
      </c>
      <c r="J10">
        <v>13112</v>
      </c>
      <c r="K10">
        <v>12544</v>
      </c>
      <c r="L10">
        <v>12078</v>
      </c>
      <c r="M10">
        <v>11595</v>
      </c>
      <c r="N10">
        <v>11131</v>
      </c>
      <c r="O10">
        <v>10641</v>
      </c>
      <c r="P10">
        <v>10153</v>
      </c>
      <c r="Q10">
        <v>9691</v>
      </c>
      <c r="R10">
        <v>9239</v>
      </c>
      <c r="S10">
        <v>8797</v>
      </c>
      <c r="T10">
        <v>8383</v>
      </c>
      <c r="U10">
        <v>8009</v>
      </c>
      <c r="V10">
        <v>7666</v>
      </c>
      <c r="W10">
        <v>7358</v>
      </c>
      <c r="X10">
        <v>7089</v>
      </c>
      <c r="Y10">
        <v>6862</v>
      </c>
      <c r="Z10">
        <v>6684</v>
      </c>
      <c r="AA10">
        <v>6556</v>
      </c>
      <c r="AB10">
        <v>6481</v>
      </c>
      <c r="AC10">
        <v>6466</v>
      </c>
      <c r="AD10">
        <v>6466</v>
      </c>
      <c r="AE10">
        <v>6466</v>
      </c>
      <c r="AF10">
        <v>6466</v>
      </c>
      <c r="AG10">
        <v>6466</v>
      </c>
    </row>
    <row r="11" spans="1:38" x14ac:dyDescent="0.45">
      <c r="A11" t="s">
        <v>77</v>
      </c>
      <c r="C11">
        <v>14231</v>
      </c>
      <c r="D11">
        <v>13961</v>
      </c>
      <c r="E11">
        <v>13669</v>
      </c>
      <c r="F11">
        <v>13357</v>
      </c>
      <c r="G11">
        <v>13028</v>
      </c>
      <c r="H11">
        <v>12683</v>
      </c>
      <c r="I11">
        <v>12325</v>
      </c>
      <c r="J11">
        <v>11956</v>
      </c>
      <c r="K11">
        <v>11578</v>
      </c>
      <c r="L11">
        <v>11193</v>
      </c>
      <c r="M11">
        <v>10804</v>
      </c>
      <c r="N11">
        <v>10413</v>
      </c>
      <c r="O11">
        <v>10022</v>
      </c>
      <c r="P11">
        <v>9633</v>
      </c>
      <c r="Q11">
        <v>9249</v>
      </c>
      <c r="R11">
        <v>8871</v>
      </c>
      <c r="S11">
        <v>8502</v>
      </c>
      <c r="T11">
        <v>8144</v>
      </c>
      <c r="U11">
        <v>7799</v>
      </c>
      <c r="V11">
        <v>7469</v>
      </c>
      <c r="W11">
        <v>7157</v>
      </c>
      <c r="X11">
        <v>6866</v>
      </c>
      <c r="Y11">
        <v>6596</v>
      </c>
      <c r="Z11">
        <v>6350</v>
      </c>
      <c r="AA11">
        <v>6131</v>
      </c>
    </row>
    <row r="12" spans="1:38" x14ac:dyDescent="0.45">
      <c r="A12" t="s">
        <v>76</v>
      </c>
      <c r="C12">
        <v>16085</v>
      </c>
      <c r="D12">
        <v>15782</v>
      </c>
      <c r="E12">
        <v>15442</v>
      </c>
      <c r="F12">
        <v>15069</v>
      </c>
      <c r="G12">
        <v>14667</v>
      </c>
      <c r="H12">
        <v>14239</v>
      </c>
      <c r="I12">
        <v>13790</v>
      </c>
      <c r="J12">
        <v>13323</v>
      </c>
      <c r="K12">
        <v>12844</v>
      </c>
      <c r="L12">
        <v>12356</v>
      </c>
      <c r="M12">
        <v>11863</v>
      </c>
      <c r="N12">
        <v>11369</v>
      </c>
      <c r="O12">
        <v>10879</v>
      </c>
      <c r="P12">
        <v>10396</v>
      </c>
      <c r="Q12">
        <v>9924</v>
      </c>
      <c r="R12">
        <v>9468</v>
      </c>
      <c r="S12">
        <v>9032</v>
      </c>
      <c r="T12">
        <v>8619</v>
      </c>
      <c r="U12">
        <v>8234</v>
      </c>
      <c r="V12">
        <v>7881</v>
      </c>
      <c r="W12">
        <v>7565</v>
      </c>
      <c r="X12">
        <v>7288</v>
      </c>
      <c r="Y12">
        <v>7055</v>
      </c>
      <c r="Z12">
        <v>6871</v>
      </c>
      <c r="AA12">
        <v>6739</v>
      </c>
      <c r="AB12">
        <v>6663</v>
      </c>
      <c r="AC12">
        <v>6648</v>
      </c>
      <c r="AD12">
        <v>6648</v>
      </c>
      <c r="AE12">
        <v>6648</v>
      </c>
      <c r="AF12">
        <v>6648</v>
      </c>
      <c r="AG12">
        <v>6648</v>
      </c>
      <c r="AH12">
        <v>6648</v>
      </c>
      <c r="AI12">
        <v>6648</v>
      </c>
      <c r="AJ12">
        <v>6648</v>
      </c>
      <c r="AK12">
        <v>6648</v>
      </c>
      <c r="AL12">
        <v>6648</v>
      </c>
    </row>
    <row r="13" spans="1:38" x14ac:dyDescent="0.45">
      <c r="A13" t="s">
        <v>99</v>
      </c>
      <c r="C13">
        <v>11400</v>
      </c>
      <c r="D13">
        <v>11400</v>
      </c>
      <c r="E13">
        <v>11400</v>
      </c>
      <c r="F13">
        <v>11400</v>
      </c>
      <c r="G13">
        <v>11400</v>
      </c>
      <c r="H13">
        <v>11400</v>
      </c>
      <c r="I13">
        <v>11400</v>
      </c>
      <c r="J13">
        <v>11400</v>
      </c>
      <c r="K13">
        <v>11262</v>
      </c>
      <c r="L13">
        <v>10887</v>
      </c>
      <c r="M13">
        <v>10509</v>
      </c>
      <c r="N13">
        <v>10129</v>
      </c>
      <c r="O13">
        <v>9748</v>
      </c>
      <c r="P13">
        <v>9370</v>
      </c>
      <c r="Q13">
        <v>8997</v>
      </c>
      <c r="R13">
        <v>8629</v>
      </c>
      <c r="S13">
        <v>8270</v>
      </c>
      <c r="T13">
        <v>7922</v>
      </c>
      <c r="U13">
        <v>7586</v>
      </c>
      <c r="V13">
        <v>7265</v>
      </c>
      <c r="W13">
        <v>6962</v>
      </c>
      <c r="X13">
        <v>6679</v>
      </c>
      <c r="Y13">
        <v>6416</v>
      </c>
      <c r="Z13">
        <v>6177</v>
      </c>
      <c r="AA13">
        <v>5963</v>
      </c>
      <c r="AB13">
        <v>5778</v>
      </c>
      <c r="AC13">
        <v>5623</v>
      </c>
      <c r="AD13">
        <v>5499</v>
      </c>
      <c r="AE13">
        <v>5410</v>
      </c>
      <c r="AF13">
        <v>5358</v>
      </c>
      <c r="AG13">
        <v>5358</v>
      </c>
    </row>
    <row r="14" spans="1:38" x14ac:dyDescent="0.45">
      <c r="A14" t="s">
        <v>100</v>
      </c>
      <c r="C14">
        <v>12200</v>
      </c>
      <c r="D14">
        <v>12200</v>
      </c>
      <c r="E14">
        <v>12200</v>
      </c>
      <c r="F14">
        <v>12200</v>
      </c>
      <c r="G14">
        <v>12200</v>
      </c>
      <c r="H14">
        <v>12200</v>
      </c>
      <c r="I14">
        <v>12200</v>
      </c>
      <c r="J14">
        <v>12200</v>
      </c>
      <c r="K14">
        <v>12200</v>
      </c>
      <c r="L14">
        <v>12078</v>
      </c>
      <c r="M14">
        <v>11595</v>
      </c>
      <c r="N14">
        <v>11131</v>
      </c>
      <c r="O14">
        <v>10641</v>
      </c>
      <c r="P14">
        <v>10153</v>
      </c>
      <c r="Q14">
        <v>9691</v>
      </c>
      <c r="R14">
        <v>9239</v>
      </c>
      <c r="S14">
        <v>8797</v>
      </c>
      <c r="T14">
        <v>8383</v>
      </c>
      <c r="U14">
        <v>8009</v>
      </c>
      <c r="V14">
        <v>7666</v>
      </c>
      <c r="W14">
        <v>7358</v>
      </c>
      <c r="X14">
        <v>7089</v>
      </c>
      <c r="Y14">
        <v>6862</v>
      </c>
      <c r="Z14">
        <v>6684</v>
      </c>
      <c r="AA14">
        <v>6556</v>
      </c>
      <c r="AB14">
        <v>6481</v>
      </c>
      <c r="AC14">
        <v>6466</v>
      </c>
      <c r="AD14">
        <v>6466</v>
      </c>
      <c r="AE14">
        <v>6466</v>
      </c>
      <c r="AF14">
        <v>6466</v>
      </c>
      <c r="AG14">
        <v>6466</v>
      </c>
    </row>
    <row r="15" spans="1:38" x14ac:dyDescent="0.45">
      <c r="A15" t="s">
        <v>101</v>
      </c>
      <c r="C15">
        <v>72676.336135000005</v>
      </c>
      <c r="D15">
        <v>71448.287643999996</v>
      </c>
      <c r="E15">
        <v>58304.994848406554</v>
      </c>
      <c r="F15">
        <v>35111.474362944369</v>
      </c>
      <c r="G15">
        <v>21828.912570791726</v>
      </c>
      <c r="H15">
        <v>13366.924082917261</v>
      </c>
      <c r="I15">
        <v>4301.5663533642419</v>
      </c>
      <c r="J15">
        <v>820.53401004517355</v>
      </c>
      <c r="K15">
        <v>223.01076509747975</v>
      </c>
      <c r="L15">
        <v>79.153935984308134</v>
      </c>
      <c r="M15">
        <v>59.35235175939134</v>
      </c>
      <c r="N15">
        <v>51.089637363290542</v>
      </c>
      <c r="O15">
        <v>31.065270803613885</v>
      </c>
      <c r="P15">
        <v>9.1761219686162629</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8" x14ac:dyDescent="0.45">
      <c r="A16" t="s">
        <v>102</v>
      </c>
      <c r="C16">
        <v>12735.560000000001</v>
      </c>
      <c r="D16">
        <v>12493.6</v>
      </c>
      <c r="E16">
        <v>12232.32</v>
      </c>
      <c r="F16">
        <v>11952.640000000001</v>
      </c>
      <c r="G16">
        <v>11658.24</v>
      </c>
      <c r="H16">
        <v>11350.04</v>
      </c>
      <c r="I16">
        <v>11029.880000000001</v>
      </c>
      <c r="J16">
        <v>10699.6</v>
      </c>
      <c r="K16">
        <v>10361.040000000001</v>
      </c>
      <c r="L16">
        <v>10016.040000000001</v>
      </c>
      <c r="M16">
        <v>9668.2800000000007</v>
      </c>
      <c r="N16">
        <v>9318.68</v>
      </c>
      <c r="O16">
        <v>8968.16</v>
      </c>
      <c r="P16">
        <v>8620.4</v>
      </c>
      <c r="Q16">
        <v>8277.24</v>
      </c>
      <c r="R16">
        <v>7938.68</v>
      </c>
      <c r="S16">
        <v>7608.4000000000005</v>
      </c>
      <c r="T16">
        <v>7288.2400000000007</v>
      </c>
      <c r="U16">
        <v>6979.12</v>
      </c>
      <c r="V16">
        <v>6683.8</v>
      </c>
      <c r="W16">
        <v>6405.04</v>
      </c>
      <c r="X16">
        <v>6144.68</v>
      </c>
      <c r="Y16">
        <v>5902.72</v>
      </c>
      <c r="Z16">
        <v>5682.84</v>
      </c>
      <c r="AA16">
        <v>5485.96</v>
      </c>
      <c r="AB16">
        <v>5315.76</v>
      </c>
      <c r="AC16">
        <v>5173.16</v>
      </c>
      <c r="AD16">
        <v>5059.08</v>
      </c>
      <c r="AE16">
        <v>4977.2</v>
      </c>
      <c r="AF16">
        <v>4929.3600000000006</v>
      </c>
      <c r="AG16">
        <v>4929.3600000000006</v>
      </c>
    </row>
    <row r="17" spans="1:37" x14ac:dyDescent="0.45">
      <c r="A17" t="s">
        <v>224</v>
      </c>
      <c r="C17">
        <v>5802.2191925886927</v>
      </c>
      <c r="D17">
        <v>5725.4909460713716</v>
      </c>
      <c r="E17">
        <v>5470.5554964099501</v>
      </c>
      <c r="F17">
        <v>5424.5180259177814</v>
      </c>
      <c r="G17">
        <v>5477.4984375913937</v>
      </c>
      <c r="H17">
        <v>4998.4951313611627</v>
      </c>
      <c r="I17">
        <v>4918.2035797524177</v>
      </c>
      <c r="J17">
        <v>4621.3282861638463</v>
      </c>
      <c r="K17">
        <v>4435.5791976236487</v>
      </c>
      <c r="L17">
        <v>4182.7256719680145</v>
      </c>
      <c r="M17">
        <v>3701.6469314679048</v>
      </c>
      <c r="N17">
        <v>3517.1177590405532</v>
      </c>
      <c r="O17">
        <v>3276.6285234512884</v>
      </c>
      <c r="P17">
        <v>3167.6815416696704</v>
      </c>
      <c r="Q17">
        <v>3121.5363416992141</v>
      </c>
      <c r="R17">
        <v>2725.4539942446772</v>
      </c>
      <c r="S17">
        <v>2439.3004885966388</v>
      </c>
      <c r="T17">
        <v>2220.7363101843566</v>
      </c>
      <c r="U17">
        <v>2451.7555276836679</v>
      </c>
      <c r="V17">
        <v>1882.3661680169857</v>
      </c>
      <c r="W17">
        <v>2175.3683784422719</v>
      </c>
      <c r="X17">
        <v>1769.0623917571131</v>
      </c>
      <c r="Y17">
        <v>1835.418498389161</v>
      </c>
      <c r="Z17">
        <v>1981.9461725880544</v>
      </c>
      <c r="AA17">
        <v>1763.0680783268458</v>
      </c>
      <c r="AB17">
        <v>1389.5383038624043</v>
      </c>
      <c r="AC17">
        <v>1290.3967257576194</v>
      </c>
      <c r="AD17">
        <v>1552.3540131435504</v>
      </c>
      <c r="AE17">
        <v>1130.048745497375</v>
      </c>
      <c r="AF17">
        <v>1685.0443253902108</v>
      </c>
    </row>
    <row r="18" spans="1:37" x14ac:dyDescent="0.45">
      <c r="A18" t="s">
        <v>225</v>
      </c>
      <c r="C18">
        <v>26039.975091238943</v>
      </c>
      <c r="D18">
        <v>25828.555938493464</v>
      </c>
      <c r="E18">
        <v>23885.637736839395</v>
      </c>
      <c r="F18">
        <v>23511.80172877193</v>
      </c>
      <c r="G18">
        <v>23257.444948630928</v>
      </c>
      <c r="H18">
        <v>22956.262322888411</v>
      </c>
      <c r="I18">
        <v>22568.933416366228</v>
      </c>
      <c r="J18">
        <v>22355.803233349841</v>
      </c>
      <c r="K18">
        <v>21889.353112275086</v>
      </c>
      <c r="L18">
        <v>21321.507039510529</v>
      </c>
      <c r="M18">
        <v>21261.071229691515</v>
      </c>
      <c r="N18">
        <v>20624.977139152448</v>
      </c>
      <c r="O18">
        <v>20065.320449384082</v>
      </c>
      <c r="P18">
        <v>19863.239711066439</v>
      </c>
      <c r="Q18">
        <v>18404.081463462884</v>
      </c>
      <c r="R18">
        <v>19393.27142546128</v>
      </c>
      <c r="S18">
        <v>18572.070597255195</v>
      </c>
      <c r="T18">
        <v>18130.709650052766</v>
      </c>
      <c r="U18">
        <v>17146.74100185205</v>
      </c>
      <c r="V18">
        <v>16107.059795039555</v>
      </c>
      <c r="W18">
        <v>15864.058526053175</v>
      </c>
      <c r="X18">
        <v>16392.106467795511</v>
      </c>
      <c r="Y18">
        <v>14846.023879511384</v>
      </c>
      <c r="Z18">
        <v>14732.888442485837</v>
      </c>
      <c r="AA18">
        <v>14495.747612715109</v>
      </c>
      <c r="AB18">
        <v>14022.529897840648</v>
      </c>
      <c r="AC18">
        <v>14875.35399490973</v>
      </c>
      <c r="AD18">
        <v>14455.574714624219</v>
      </c>
      <c r="AE18">
        <v>14756.892500990005</v>
      </c>
      <c r="AF18">
        <v>13666.668928279369</v>
      </c>
    </row>
    <row r="19" spans="1:37" x14ac:dyDescent="0.45">
      <c r="A19" t="s">
        <v>226</v>
      </c>
      <c r="C19">
        <v>7276.2609809401592</v>
      </c>
      <c r="D19">
        <v>7244.3645197316137</v>
      </c>
      <c r="E19">
        <v>6943.7849051166604</v>
      </c>
      <c r="F19">
        <v>6886.3324849695182</v>
      </c>
      <c r="G19">
        <v>6676.6656596898347</v>
      </c>
      <c r="H19">
        <v>6208.7458358123376</v>
      </c>
      <c r="I19">
        <v>6175.1665587064454</v>
      </c>
      <c r="J19">
        <v>5340.2857919958515</v>
      </c>
      <c r="K19">
        <v>5132.1619566431073</v>
      </c>
      <c r="L19">
        <v>4907.4237247497203</v>
      </c>
      <c r="M19">
        <v>4277.8887649157023</v>
      </c>
      <c r="N19">
        <v>4225.2084818665899</v>
      </c>
      <c r="O19">
        <v>3834.9017402219897</v>
      </c>
      <c r="P19">
        <v>3843.2306654955833</v>
      </c>
      <c r="Q19">
        <v>3417.0347089240295</v>
      </c>
      <c r="R19">
        <v>2920.8464691905056</v>
      </c>
      <c r="S19">
        <v>2752.601554013469</v>
      </c>
      <c r="T19">
        <v>2447.4755034403624</v>
      </c>
      <c r="U19">
        <v>2291.1894642978759</v>
      </c>
      <c r="V19">
        <v>2215.6524261795234</v>
      </c>
      <c r="W19">
        <v>2073.8251203903483</v>
      </c>
      <c r="X19">
        <v>1997.4952809551912</v>
      </c>
      <c r="Y19">
        <v>1981.5734182786302</v>
      </c>
      <c r="Z19">
        <v>2210.5957317837324</v>
      </c>
      <c r="AA19">
        <v>1612.1934222260988</v>
      </c>
      <c r="AB19">
        <v>2003.2567893203445</v>
      </c>
      <c r="AC19">
        <v>1887.0053270138883</v>
      </c>
      <c r="AD19">
        <v>1510.5779604841071</v>
      </c>
      <c r="AE19">
        <v>1930.7522187031057</v>
      </c>
      <c r="AF19">
        <v>1590.6013988724453</v>
      </c>
    </row>
    <row r="20" spans="1:37" x14ac:dyDescent="0.45">
      <c r="A20" t="s">
        <v>227</v>
      </c>
      <c r="C20">
        <v>29175.628180580032</v>
      </c>
      <c r="D20">
        <v>28574.742063398582</v>
      </c>
      <c r="E20">
        <v>26814.093864715429</v>
      </c>
      <c r="F20">
        <v>26346.325721298897</v>
      </c>
      <c r="G20">
        <v>25922.75132522258</v>
      </c>
      <c r="H20">
        <v>25686.285298457387</v>
      </c>
      <c r="I20">
        <v>24650.842050497769</v>
      </c>
      <c r="J20">
        <v>24130.340880785043</v>
      </c>
      <c r="K20">
        <v>23312.950352072476</v>
      </c>
      <c r="L20">
        <v>22422.250290002787</v>
      </c>
      <c r="M20">
        <v>22376.735560785393</v>
      </c>
      <c r="N20">
        <v>21881.18547222266</v>
      </c>
      <c r="O20">
        <v>21363.063219501313</v>
      </c>
      <c r="P20">
        <v>20592.736974064297</v>
      </c>
      <c r="Q20">
        <v>19603.616955663561</v>
      </c>
      <c r="R20">
        <v>20677.463411439334</v>
      </c>
      <c r="S20">
        <v>20126.214016161008</v>
      </c>
      <c r="T20">
        <v>18168.378365317309</v>
      </c>
      <c r="U20">
        <v>18532.784472758889</v>
      </c>
      <c r="V20">
        <v>17497.103319711361</v>
      </c>
      <c r="W20">
        <v>16036.866629935636</v>
      </c>
      <c r="X20">
        <v>16683.157240319462</v>
      </c>
      <c r="Y20">
        <v>16267.920775411136</v>
      </c>
      <c r="Z20">
        <v>16130.153216483001</v>
      </c>
      <c r="AA20">
        <v>14797.419236679589</v>
      </c>
      <c r="AB20">
        <v>16505.6768706107</v>
      </c>
      <c r="AC20">
        <v>16518.477118173825</v>
      </c>
      <c r="AD20">
        <v>15569.389176677623</v>
      </c>
      <c r="AE20">
        <v>16504.701363672313</v>
      </c>
      <c r="AF20">
        <v>13671.671867914309</v>
      </c>
    </row>
    <row r="21" spans="1:37" x14ac:dyDescent="0.45">
      <c r="A21" t="str">
        <f>CONCATENATE("Constant VMT - ", C21)</f>
        <v>Constant VMT - 100000</v>
      </c>
      <c r="C21" s="2">
        <v>100000</v>
      </c>
      <c r="D21">
        <f t="shared" ref="D21:AK21" si="6">C21</f>
        <v>100000</v>
      </c>
      <c r="E21">
        <f t="shared" si="6"/>
        <v>100000</v>
      </c>
      <c r="F21">
        <f t="shared" si="6"/>
        <v>100000</v>
      </c>
      <c r="G21">
        <f t="shared" si="6"/>
        <v>100000</v>
      </c>
      <c r="H21">
        <f t="shared" si="6"/>
        <v>100000</v>
      </c>
      <c r="I21">
        <f t="shared" si="6"/>
        <v>100000</v>
      </c>
      <c r="J21">
        <f t="shared" si="6"/>
        <v>100000</v>
      </c>
      <c r="K21">
        <f t="shared" si="6"/>
        <v>100000</v>
      </c>
      <c r="L21">
        <f t="shared" si="6"/>
        <v>100000</v>
      </c>
      <c r="M21">
        <f t="shared" si="6"/>
        <v>100000</v>
      </c>
      <c r="N21">
        <f t="shared" si="6"/>
        <v>100000</v>
      </c>
      <c r="O21">
        <f t="shared" si="6"/>
        <v>100000</v>
      </c>
      <c r="P21">
        <f t="shared" si="6"/>
        <v>100000</v>
      </c>
      <c r="Q21">
        <f t="shared" si="6"/>
        <v>100000</v>
      </c>
      <c r="R21">
        <f t="shared" si="6"/>
        <v>100000</v>
      </c>
      <c r="S21">
        <f t="shared" si="6"/>
        <v>100000</v>
      </c>
      <c r="T21">
        <f t="shared" si="6"/>
        <v>100000</v>
      </c>
      <c r="U21">
        <f t="shared" si="6"/>
        <v>100000</v>
      </c>
      <c r="V21">
        <f t="shared" si="6"/>
        <v>100000</v>
      </c>
      <c r="W21">
        <f t="shared" si="6"/>
        <v>100000</v>
      </c>
      <c r="X21">
        <f t="shared" si="6"/>
        <v>100000</v>
      </c>
      <c r="Y21">
        <f t="shared" si="6"/>
        <v>100000</v>
      </c>
      <c r="Z21">
        <f t="shared" si="6"/>
        <v>100000</v>
      </c>
      <c r="AA21">
        <f t="shared" si="6"/>
        <v>100000</v>
      </c>
      <c r="AB21">
        <f t="shared" si="6"/>
        <v>100000</v>
      </c>
      <c r="AC21">
        <f t="shared" si="6"/>
        <v>100000</v>
      </c>
      <c r="AD21">
        <f t="shared" si="6"/>
        <v>100000</v>
      </c>
      <c r="AE21">
        <f t="shared" si="6"/>
        <v>100000</v>
      </c>
      <c r="AF21">
        <f t="shared" si="6"/>
        <v>100000</v>
      </c>
      <c r="AG21">
        <f t="shared" si="6"/>
        <v>100000</v>
      </c>
      <c r="AH21">
        <f t="shared" si="6"/>
        <v>100000</v>
      </c>
      <c r="AI21">
        <f t="shared" si="6"/>
        <v>100000</v>
      </c>
      <c r="AJ21">
        <f t="shared" si="6"/>
        <v>100000</v>
      </c>
      <c r="AK21">
        <f t="shared" si="6"/>
        <v>100000</v>
      </c>
    </row>
    <row r="22" spans="1:37" x14ac:dyDescent="0.45">
      <c r="A22" t="s">
        <v>106</v>
      </c>
      <c r="C22" s="50">
        <v>17478.772611884</v>
      </c>
      <c r="D22" s="50">
        <v>19307.786185096898</v>
      </c>
      <c r="E22" s="50">
        <v>20379.247234579692</v>
      </c>
      <c r="F22" s="50">
        <v>20263.5676684559</v>
      </c>
      <c r="G22" s="50">
        <v>19090.178063088901</v>
      </c>
      <c r="H22" s="50">
        <v>17567.001341788698</v>
      </c>
      <c r="I22" s="50">
        <v>16165.356610218687</v>
      </c>
      <c r="J22" s="50">
        <v>14875.547012904886</v>
      </c>
      <c r="K22" s="50">
        <v>13688.649391951147</v>
      </c>
      <c r="L22" s="50">
        <v>12596.452554867979</v>
      </c>
      <c r="M22" s="50">
        <v>11591.400467918882</v>
      </c>
      <c r="N22" s="50">
        <v>10666.539981984501</v>
      </c>
      <c r="O22" s="50">
        <v>9815.4727293017986</v>
      </c>
      <c r="P22" s="50">
        <v>9032.3108582904006</v>
      </c>
      <c r="Q22" s="50">
        <v>8311.6363002308353</v>
      </c>
      <c r="R22" s="50">
        <v>7648.4632859935409</v>
      </c>
      <c r="S22" s="50">
        <v>7038.2038535019201</v>
      </c>
      <c r="T22" s="49">
        <v>6476.6361073032822</v>
      </c>
      <c r="U22" s="49">
        <v>5959.8750106610805</v>
      </c>
      <c r="V22" s="49">
        <v>5484.3455081023758</v>
      </c>
      <c r="W22" s="49">
        <v>5046.757792476993</v>
      </c>
      <c r="X22" s="49">
        <v>4644.0845454209866</v>
      </c>
      <c r="Y22" s="49">
        <v>4273.5399937694501</v>
      </c>
      <c r="Z22" s="49">
        <v>3932.5606370267824</v>
      </c>
      <c r="AA22" s="49">
        <v>3618.7875125632445</v>
      </c>
      <c r="AB22" s="49">
        <v>3330.0498758449248</v>
      </c>
      <c r="AC22" s="49">
        <v>3064.3501827937171</v>
      </c>
      <c r="AD22" s="49">
        <v>2819.8502703823096</v>
      </c>
      <c r="AE22" s="49">
        <v>2594.858639858805</v>
      </c>
      <c r="AF22" s="49">
        <v>2387.818754623805</v>
      </c>
      <c r="AG22" s="49">
        <v>2197.2982718023618</v>
      </c>
      <c r="AH22" s="49">
        <v>2021.9791330126748</v>
      </c>
      <c r="AI22" s="49">
        <v>1860.6484457775166</v>
      </c>
      <c r="AJ22" s="49">
        <v>1712.1900924941872</v>
      </c>
    </row>
    <row r="23" spans="1:37" x14ac:dyDescent="0.45">
      <c r="A23" s="48" t="s">
        <v>103</v>
      </c>
      <c r="B23" s="48"/>
      <c r="C23" s="48">
        <v>19020.008537826601</v>
      </c>
      <c r="D23" s="48">
        <v>19723.058678096801</v>
      </c>
      <c r="E23" s="48">
        <v>18144.4292352294</v>
      </c>
      <c r="F23" s="48">
        <v>21686.814385706901</v>
      </c>
      <c r="G23" s="48">
        <v>18928.941325917502</v>
      </c>
      <c r="H23" s="48">
        <v>16646.496636396601</v>
      </c>
      <c r="I23" s="48">
        <v>15838.3151122463</v>
      </c>
      <c r="J23" s="48">
        <v>15035.259180758499</v>
      </c>
      <c r="K23" s="48">
        <v>15529.8377564654</v>
      </c>
      <c r="L23" s="48">
        <v>13786.860335793899</v>
      </c>
      <c r="M23" s="48">
        <v>16761.036422804002</v>
      </c>
      <c r="N23" s="48">
        <v>14322.480081117499</v>
      </c>
      <c r="O23" s="48">
        <v>12797.7835572658</v>
      </c>
      <c r="P23" s="48">
        <v>12084.6936071488</v>
      </c>
      <c r="Q23" s="48">
        <v>8787.8418489191499</v>
      </c>
      <c r="R23" s="48">
        <v>8953.3255592641799</v>
      </c>
      <c r="S23" s="48">
        <v>7699.1202197883404</v>
      </c>
      <c r="T23" s="48"/>
      <c r="U23" s="48"/>
      <c r="V23" s="48"/>
      <c r="W23" s="48"/>
      <c r="X23" s="48"/>
      <c r="Y23" s="48"/>
      <c r="Z23" s="48"/>
      <c r="AA23" s="48"/>
      <c r="AB23" s="48"/>
      <c r="AC23" s="48"/>
      <c r="AD23" s="48"/>
      <c r="AE23" s="48"/>
      <c r="AF23" s="48"/>
      <c r="AG23" s="48"/>
      <c r="AH23" s="48"/>
      <c r="AI23" s="48"/>
      <c r="AJ23" s="48"/>
    </row>
    <row r="24" spans="1:37" x14ac:dyDescent="0.45">
      <c r="A24" s="48" t="s">
        <v>104</v>
      </c>
      <c r="B24" s="48"/>
      <c r="C24" s="48">
        <v>16339.338411468299</v>
      </c>
      <c r="D24" s="48">
        <v>17937.5196088101</v>
      </c>
      <c r="E24" s="48">
        <v>16530.075272527902</v>
      </c>
      <c r="F24" s="48">
        <v>19018.108654855499</v>
      </c>
      <c r="G24" s="48">
        <v>17972.1947973567</v>
      </c>
      <c r="H24" s="48">
        <v>16100.6789498868</v>
      </c>
      <c r="I24" s="48">
        <v>14421.9040083088</v>
      </c>
      <c r="J24" s="48">
        <v>14421.329420215499</v>
      </c>
      <c r="K24" s="48">
        <v>13289.6112879595</v>
      </c>
      <c r="L24" s="48">
        <v>10122.786279691099</v>
      </c>
      <c r="M24" s="48">
        <v>12012.5309277987</v>
      </c>
      <c r="N24" s="48">
        <v>8870.0443771079099</v>
      </c>
      <c r="O24" s="48">
        <v>11495.558906030999</v>
      </c>
      <c r="P24" s="48">
        <v>9826.6156386517396</v>
      </c>
      <c r="Q24" s="48">
        <v>11879.1136262401</v>
      </c>
      <c r="R24" s="48">
        <v>8926.74899304883</v>
      </c>
      <c r="S24" s="48">
        <v>5614.6114186739296</v>
      </c>
      <c r="T24" s="48"/>
      <c r="U24" s="48"/>
      <c r="V24" s="48"/>
      <c r="W24" s="48"/>
      <c r="X24" s="48"/>
      <c r="Y24" s="48"/>
      <c r="Z24" s="48"/>
      <c r="AA24" s="48"/>
      <c r="AB24" s="48"/>
      <c r="AC24" s="48"/>
      <c r="AD24" s="48"/>
      <c r="AE24" s="48"/>
      <c r="AF24" s="48"/>
      <c r="AG24" s="48"/>
      <c r="AH24" s="48"/>
      <c r="AI24" s="48"/>
      <c r="AJ24" s="48"/>
    </row>
    <row r="25" spans="1:37" x14ac:dyDescent="0.45">
      <c r="A25" s="48" t="s">
        <v>105</v>
      </c>
      <c r="B25" s="48"/>
      <c r="C25" s="48">
        <v>18660.394636973499</v>
      </c>
      <c r="D25" s="48">
        <v>21889.5871730461</v>
      </c>
      <c r="E25" s="48">
        <v>18932.129969629099</v>
      </c>
      <c r="F25" s="48">
        <v>21823.513540152398</v>
      </c>
      <c r="G25" s="48">
        <v>23804.0920536667</v>
      </c>
      <c r="H25" s="48">
        <v>15692.8809340566</v>
      </c>
      <c r="I25" s="48">
        <v>16679.897995152802</v>
      </c>
      <c r="J25" s="48">
        <v>16010.1632406714</v>
      </c>
      <c r="K25" s="48">
        <v>15803.3808143977</v>
      </c>
      <c r="L25" s="48">
        <v>11508.000006057</v>
      </c>
      <c r="M25" s="48">
        <v>5723.2882091536303</v>
      </c>
      <c r="N25" s="48">
        <v>13927.687181258299</v>
      </c>
      <c r="O25" s="48">
        <v>9643.2890148769093</v>
      </c>
      <c r="P25" s="48">
        <v>14067.087407074299</v>
      </c>
      <c r="Q25" s="48">
        <v>4180.2072888338798</v>
      </c>
      <c r="R25" s="48">
        <v>10475.41189549</v>
      </c>
      <c r="S25" s="48">
        <v>6011.5503685205504</v>
      </c>
      <c r="T25" s="48"/>
      <c r="U25" s="48"/>
      <c r="V25" s="48"/>
      <c r="W25" s="48"/>
      <c r="X25" s="48"/>
      <c r="Y25" s="48"/>
      <c r="Z25" s="48"/>
      <c r="AA25" s="48"/>
      <c r="AB25" s="48"/>
      <c r="AC25" s="48"/>
      <c r="AD25" s="48"/>
      <c r="AE25" s="48"/>
      <c r="AF25" s="48"/>
      <c r="AG25" s="48"/>
      <c r="AH25" s="48"/>
      <c r="AI25" s="48"/>
      <c r="AJ25" s="48"/>
    </row>
    <row r="26" spans="1:37" x14ac:dyDescent="0.45">
      <c r="A26" s="49" t="s">
        <v>92</v>
      </c>
      <c r="B26" s="49"/>
      <c r="C26" s="50">
        <v>23313.4222973004</v>
      </c>
      <c r="D26" s="50">
        <v>26550.182514259399</v>
      </c>
      <c r="E26" s="50">
        <v>25539.655974048193</v>
      </c>
      <c r="F26" s="50">
        <v>23699.531269038001</v>
      </c>
      <c r="G26" s="50">
        <v>22005.757935078102</v>
      </c>
      <c r="H26" s="50">
        <v>20179.19188037085</v>
      </c>
      <c r="I26" s="50">
        <v>18504.238124683325</v>
      </c>
      <c r="J26" s="50">
        <v>16968.312239899824</v>
      </c>
      <c r="K26" s="50">
        <v>15559.874355846337</v>
      </c>
      <c r="L26" s="50">
        <v>14268.342457797313</v>
      </c>
      <c r="M26" s="50">
        <v>13084.012880636656</v>
      </c>
      <c r="N26" s="50">
        <v>11997.987402321834</v>
      </c>
      <c r="O26" s="50">
        <v>11002.106388882499</v>
      </c>
      <c r="P26" s="50">
        <v>10088.887488652003</v>
      </c>
      <c r="Q26" s="50">
        <v>9251.4694151232816</v>
      </c>
      <c r="R26" s="50">
        <v>8483.5603960528788</v>
      </c>
      <c r="S26" s="50">
        <v>7779.3909014958172</v>
      </c>
      <c r="T26" s="49">
        <v>7133.6702956029358</v>
      </c>
      <c r="U26" s="49">
        <v>6541.5470864926865</v>
      </c>
      <c r="V26" s="49">
        <v>5998.5724755427882</v>
      </c>
      <c r="W26" s="49">
        <v>5500.6669322366824</v>
      </c>
      <c r="X26" s="49">
        <v>5044.0895434316217</v>
      </c>
      <c r="Y26" s="49">
        <v>4625.4099067602792</v>
      </c>
      <c r="Z26" s="49">
        <v>4241.4823569926111</v>
      </c>
      <c r="AA26" s="49">
        <v>3889.4223317129176</v>
      </c>
      <c r="AB26" s="49">
        <v>3566.5846987403847</v>
      </c>
      <c r="AC26" s="49">
        <v>3270.5438824605271</v>
      </c>
      <c r="AD26" s="49">
        <v>2999.0756397507284</v>
      </c>
      <c r="AE26" s="49">
        <v>2750.1403485769606</v>
      </c>
      <c r="AF26" s="49">
        <v>2521.8676837039152</v>
      </c>
      <c r="AG26" s="49">
        <v>2312.5425643825738</v>
      </c>
      <c r="AH26" s="49">
        <v>2120.5922684360016</v>
      </c>
      <c r="AI26" s="49">
        <v>1944.5746159276332</v>
      </c>
      <c r="AJ26" s="49">
        <v>1783.1671336324227</v>
      </c>
    </row>
    <row r="27" spans="1:37" x14ac:dyDescent="0.45">
      <c r="A27" t="s">
        <v>93</v>
      </c>
      <c r="C27" s="16">
        <v>27211.219206523601</v>
      </c>
      <c r="D27" s="16">
        <v>29775.804874050998</v>
      </c>
      <c r="E27" s="16">
        <v>31987.4603930085</v>
      </c>
      <c r="F27" s="16">
        <v>30741.522097913188</v>
      </c>
      <c r="G27" s="16">
        <v>28290.033916625202</v>
      </c>
      <c r="H27" s="16">
        <v>25969.830920919088</v>
      </c>
      <c r="I27" s="16">
        <v>23839.919034695176</v>
      </c>
      <c r="J27" s="16">
        <v>21884.69156042959</v>
      </c>
      <c r="K27" s="16">
        <v>20089.821781614199</v>
      </c>
      <c r="L27" s="16">
        <v>18442.157985300742</v>
      </c>
      <c r="M27" s="16">
        <v>16929.627094355645</v>
      </c>
      <c r="N27" s="16">
        <v>15541.146203301374</v>
      </c>
      <c r="O27" s="16">
        <v>14266.541369532832</v>
      </c>
      <c r="P27" s="16">
        <v>13096.473064860258</v>
      </c>
      <c r="Q27" s="16">
        <v>12022.367741132952</v>
      </c>
      <c r="R27" s="16">
        <v>11036.355008498349</v>
      </c>
      <c r="S27" s="16">
        <v>10131.209965977003</v>
      </c>
      <c r="T27">
        <v>9300.3002617870261</v>
      </c>
      <c r="U27">
        <v>8537.5374955082807</v>
      </c>
      <c r="V27">
        <v>7837.3326059909687</v>
      </c>
      <c r="W27">
        <v>7194.5549181183815</v>
      </c>
      <c r="X27">
        <v>6604.4945483434085</v>
      </c>
      <c r="Y27">
        <v>6062.8278935294766</v>
      </c>
      <c r="Z27">
        <v>5565.5859502191533</v>
      </c>
      <c r="AA27">
        <v>5109.1252321933052</v>
      </c>
      <c r="AB27">
        <v>4690.1010732223885</v>
      </c>
      <c r="AC27">
        <v>4305.4431193886885</v>
      </c>
      <c r="AD27">
        <v>3952.3328314021701</v>
      </c>
      <c r="AE27">
        <v>3628.1828320606041</v>
      </c>
      <c r="AF27">
        <v>3330.6179475247318</v>
      </c>
      <c r="AG27">
        <v>3057.4578034904725</v>
      </c>
      <c r="AH27">
        <v>2806.7008487335279</v>
      </c>
      <c r="AI27">
        <v>2576.5096889606357</v>
      </c>
      <c r="AJ27">
        <v>2365.197623502871</v>
      </c>
    </row>
    <row r="28" spans="1:37" x14ac:dyDescent="0.45">
      <c r="A28" t="s">
        <v>94</v>
      </c>
      <c r="C28" s="16">
        <v>23123.292830144601</v>
      </c>
      <c r="D28" s="16">
        <v>27374.876591055399</v>
      </c>
      <c r="E28" s="16">
        <v>26190.500258584765</v>
      </c>
      <c r="F28" s="16">
        <v>23751.73662993047</v>
      </c>
      <c r="G28" s="16">
        <v>21540.061753981372</v>
      </c>
      <c r="H28" s="16">
        <v>19534.329956347668</v>
      </c>
      <c r="I28" s="16">
        <v>17715.364570527774</v>
      </c>
      <c r="J28" s="16">
        <v>16065.774591092666</v>
      </c>
      <c r="K28" s="16">
        <v>14569.788399455398</v>
      </c>
      <c r="L28" s="16">
        <v>13213.102972489021</v>
      </c>
      <c r="M28" s="16">
        <v>11982.7471322867</v>
      </c>
      <c r="N28" s="16">
        <v>10866.957529604195</v>
      </c>
      <c r="O28" s="16">
        <v>9855.0661752707565</v>
      </c>
      <c r="P28" s="16">
        <v>8937.3984442638412</v>
      </c>
      <c r="Q28" s="16">
        <v>8182.7487712365501</v>
      </c>
      <c r="R28" s="16">
        <v>7420.8011227121133</v>
      </c>
      <c r="S28" s="16">
        <v>6729.8032534516669</v>
      </c>
      <c r="T28" s="17">
        <v>6103.1485794105492</v>
      </c>
      <c r="U28">
        <v>5534.8456974959199</v>
      </c>
      <c r="V28">
        <v>5019.4611021656992</v>
      </c>
      <c r="W28">
        <v>4552.0672360483759</v>
      </c>
      <c r="X28">
        <v>4128.1953778991674</v>
      </c>
      <c r="Y28">
        <v>3743.7929174574565</v>
      </c>
      <c r="Z28">
        <v>3395.184608713294</v>
      </c>
      <c r="AA28">
        <v>3079.037431128063</v>
      </c>
      <c r="AB28">
        <v>2792.3287228498029</v>
      </c>
      <c r="AC28">
        <v>2532.3172812470157</v>
      </c>
      <c r="AD28">
        <v>2296.5171544551017</v>
      </c>
      <c r="AE28">
        <v>2082.6738733581719</v>
      </c>
      <c r="AF28">
        <v>1888.7428967618155</v>
      </c>
      <c r="AG28">
        <v>1712.8700636725721</v>
      </c>
      <c r="AH28">
        <v>1553.3738657896702</v>
      </c>
      <c r="AI28">
        <v>1408.7293707175218</v>
      </c>
      <c r="AJ28">
        <v>1277.5536421898917</v>
      </c>
    </row>
    <row r="29" spans="1:37" x14ac:dyDescent="0.45">
      <c r="A29" t="s">
        <v>95</v>
      </c>
      <c r="C29" s="16">
        <v>16815.0800702536</v>
      </c>
      <c r="D29" s="16">
        <v>19038.0332724162</v>
      </c>
      <c r="E29" s="16">
        <v>19418.793937864524</v>
      </c>
      <c r="F29" s="16">
        <v>18846.462632348834</v>
      </c>
      <c r="G29" s="16">
        <v>17852.950034085701</v>
      </c>
      <c r="H29" s="16">
        <v>16323.665388756834</v>
      </c>
      <c r="I29" s="16">
        <v>14925.379347130629</v>
      </c>
      <c r="J29" s="16">
        <v>13646.870561876842</v>
      </c>
      <c r="K29" s="16">
        <v>12477.878906871765</v>
      </c>
      <c r="L29" s="16">
        <v>11409.023138938777</v>
      </c>
      <c r="M29" s="16">
        <v>10431.725612688553</v>
      </c>
      <c r="N29" s="16">
        <v>9538.1434442900481</v>
      </c>
      <c r="O29" s="16">
        <v>8721.1055717565087</v>
      </c>
      <c r="P29" s="16">
        <v>7974.0552066507098</v>
      </c>
      <c r="Q29" s="16">
        <v>7290.9972153801846</v>
      </c>
      <c r="R29" s="16">
        <v>6666.4500078134624</v>
      </c>
      <c r="S29" s="16">
        <v>6095.4015471200173</v>
      </c>
      <c r="T29">
        <v>5573.269127809639</v>
      </c>
      <c r="U29">
        <v>5095.8625991870895</v>
      </c>
      <c r="V29">
        <v>4659.3507390875739</v>
      </c>
      <c r="W29">
        <v>4260.2305080398173</v>
      </c>
      <c r="X29">
        <v>3895.2989371191602</v>
      </c>
      <c r="Y29">
        <v>3561.6274238886431</v>
      </c>
      <c r="Z29">
        <v>3256.5382301511413</v>
      </c>
      <c r="AA29">
        <v>2977.5829929052966</v>
      </c>
      <c r="AB29">
        <v>2722.5230760541012</v>
      </c>
      <c r="AC29">
        <v>2489.3116051871648</v>
      </c>
      <c r="AD29">
        <v>2276.0770412644833</v>
      </c>
      <c r="AE29">
        <v>2081.1081613793281</v>
      </c>
      <c r="AF29">
        <v>1902.8403260697792</v>
      </c>
      <c r="AG29">
        <v>1739.8429229730805</v>
      </c>
      <c r="AH29">
        <v>1590.8078860572284</v>
      </c>
      <c r="AI29">
        <v>1454.5391982957897</v>
      </c>
      <c r="AJ29">
        <v>1329.9432935441507</v>
      </c>
    </row>
    <row r="30" spans="1:37" x14ac:dyDescent="0.45">
      <c r="A30" s="48" t="s">
        <v>91</v>
      </c>
      <c r="B30" s="48"/>
      <c r="C30" s="51">
        <v>35302.197995712602</v>
      </c>
      <c r="D30" s="51">
        <v>15257.636234272601</v>
      </c>
      <c r="E30" s="51">
        <v>16238.788394507899</v>
      </c>
      <c r="F30" s="51">
        <v>24870.402678534101</v>
      </c>
      <c r="G30" s="51">
        <v>17912.776824292199</v>
      </c>
      <c r="H30" s="51">
        <v>19579.022587654101</v>
      </c>
      <c r="I30" s="51">
        <v>12394.636578014501</v>
      </c>
      <c r="J30" s="51">
        <v>11329.295460134501</v>
      </c>
      <c r="K30" s="51">
        <v>7871.8085157690703</v>
      </c>
      <c r="L30" s="51">
        <v>8359.4683926937996</v>
      </c>
      <c r="M30" s="51">
        <v>7021.0721505032998</v>
      </c>
      <c r="N30" s="51">
        <v>6254.2731359311701</v>
      </c>
      <c r="O30" s="51">
        <v>24357.310918298201</v>
      </c>
      <c r="P30" s="51">
        <v>12772.0628391561</v>
      </c>
      <c r="Q30" s="51">
        <v>9915.3402645692404</v>
      </c>
      <c r="R30" s="51">
        <v>4784.99223485729</v>
      </c>
      <c r="S30" s="51">
        <v>4278.7528658872197</v>
      </c>
      <c r="T30" s="48"/>
      <c r="U30" s="48"/>
      <c r="V30" s="48"/>
      <c r="W30" s="48"/>
      <c r="X30" s="48"/>
      <c r="Y30" s="48"/>
      <c r="Z30" s="48"/>
      <c r="AA30" s="48"/>
      <c r="AB30" s="48"/>
      <c r="AC30" s="48"/>
      <c r="AD30" s="48"/>
      <c r="AE30" s="48"/>
      <c r="AF30" s="48"/>
      <c r="AG30" s="48"/>
      <c r="AH30" s="48"/>
      <c r="AI30" s="48"/>
      <c r="AJ30" s="48"/>
    </row>
    <row r="31" spans="1:37" x14ac:dyDescent="0.45">
      <c r="A31" t="s">
        <v>107</v>
      </c>
      <c r="C31" s="46">
        <v>107925.638134771</v>
      </c>
      <c r="D31" s="46">
        <v>120273.069917211</v>
      </c>
      <c r="E31" s="46">
        <v>114372.41264205</v>
      </c>
      <c r="F31" s="46">
        <v>104613.83132325399</v>
      </c>
      <c r="G31" s="46">
        <v>91621.608274783503</v>
      </c>
      <c r="H31" s="46">
        <v>81274.571711010605</v>
      </c>
      <c r="I31" s="46">
        <v>73692.256902540103</v>
      </c>
      <c r="J31" s="46">
        <v>66690.816252077697</v>
      </c>
      <c r="K31" s="46">
        <v>59317.125610050709</v>
      </c>
      <c r="L31" s="46">
        <v>52758.709345215386</v>
      </c>
      <c r="M31" s="46">
        <v>46925.426394924361</v>
      </c>
      <c r="N31" s="46">
        <v>41737.102170888487</v>
      </c>
      <c r="O31" s="46">
        <v>37122.4266128694</v>
      </c>
      <c r="P31" s="46">
        <v>33017.974079405009</v>
      </c>
      <c r="Q31" s="46">
        <v>29367.331604618783</v>
      </c>
      <c r="R31" s="46">
        <v>26120.323539583522</v>
      </c>
      <c r="S31" s="46">
        <v>23232.321921451523</v>
      </c>
      <c r="T31" s="46">
        <v>20406.764208872599</v>
      </c>
      <c r="U31" s="46">
        <v>17924.856021042313</v>
      </c>
      <c r="V31" s="46">
        <v>15744.802070844704</v>
      </c>
      <c r="W31" s="46">
        <v>13829.890290837639</v>
      </c>
      <c r="X31" s="46">
        <v>12147.873602728869</v>
      </c>
      <c r="Y31" s="46">
        <v>10670.42687718522</v>
      </c>
      <c r="Z31" s="46">
        <v>9372.6699391883649</v>
      </c>
      <c r="AA31" s="46">
        <v>8232.7485863563306</v>
      </c>
      <c r="AB31" s="46">
        <v>7231.4665645871955</v>
      </c>
      <c r="AC31" s="46">
        <v>6351.9623035017257</v>
      </c>
      <c r="AD31" s="46">
        <v>5579.4249679159184</v>
      </c>
      <c r="AE31" s="46">
        <v>4900.8450436555859</v>
      </c>
      <c r="AF31" s="46">
        <v>4304.7952575828012</v>
      </c>
      <c r="AG31" s="46">
        <v>3781.2381425315862</v>
      </c>
      <c r="AH31" s="46">
        <v>3321.3570065499698</v>
      </c>
      <c r="AI31" s="46">
        <v>2917.407459973655</v>
      </c>
      <c r="AJ31" s="46">
        <v>2562.5870000499995</v>
      </c>
    </row>
    <row r="32" spans="1:37" x14ac:dyDescent="0.45">
      <c r="A32" t="s">
        <v>108</v>
      </c>
      <c r="C32" s="46">
        <v>74039.267379713696</v>
      </c>
      <c r="D32" s="46">
        <v>73479.035499691905</v>
      </c>
      <c r="E32" s="46">
        <v>71555.711405605296</v>
      </c>
      <c r="F32" s="46">
        <v>68475.466297734398</v>
      </c>
      <c r="G32" s="46">
        <v>61424.867928947846</v>
      </c>
      <c r="H32" s="46">
        <v>55100.23668452946</v>
      </c>
      <c r="I32" s="46">
        <v>49426.823126474577</v>
      </c>
      <c r="J32" s="46">
        <v>44337.57441665815</v>
      </c>
      <c r="K32" s="46">
        <v>39772.341833957427</v>
      </c>
      <c r="L32" s="46">
        <v>35677.169889628523</v>
      </c>
      <c r="M32" s="46">
        <v>32003.658639146401</v>
      </c>
      <c r="N32" s="46">
        <v>28944.590398150714</v>
      </c>
      <c r="O32" s="46">
        <v>26177.923054458126</v>
      </c>
      <c r="P32" s="46">
        <v>23675.707481730798</v>
      </c>
      <c r="Q32" s="46">
        <v>21412.6660695881</v>
      </c>
      <c r="R32" s="46">
        <v>19365.937366876566</v>
      </c>
      <c r="S32" s="46">
        <v>17514.845133201128</v>
      </c>
      <c r="T32" s="46">
        <v>15756.981682277861</v>
      </c>
      <c r="U32" s="46">
        <v>14175.544793427604</v>
      </c>
      <c r="V32" s="46">
        <v>12752.827555576829</v>
      </c>
      <c r="W32" s="46">
        <v>11472.900197647721</v>
      </c>
      <c r="X32" s="46">
        <v>10321.431727321073</v>
      </c>
      <c r="Y32" s="46">
        <v>9285.5294708823676</v>
      </c>
      <c r="Z32" s="46">
        <v>8353.594717523134</v>
      </c>
      <c r="AA32" s="46">
        <v>7515.1928517867536</v>
      </c>
      <c r="AB32" s="46">
        <v>6760.936520067693</v>
      </c>
      <c r="AC32" s="46">
        <v>6082.3805230117723</v>
      </c>
      <c r="AD32" s="46">
        <v>5471.9272569567847</v>
      </c>
      <c r="AE32" s="46">
        <v>4922.7416456674473</v>
      </c>
      <c r="AF32" s="46">
        <v>4428.6746098788708</v>
      </c>
      <c r="AG32" s="46">
        <v>3984.1942177582077</v>
      </c>
      <c r="AH32" s="46">
        <v>3584.3237453952624</v>
      </c>
      <c r="AI32" s="46">
        <v>3224.5859538025165</v>
      </c>
      <c r="AJ32" s="46">
        <v>2900.9529585095688</v>
      </c>
    </row>
    <row r="33" spans="1:37" x14ac:dyDescent="0.45">
      <c r="A33" t="s">
        <v>109</v>
      </c>
      <c r="C33" s="46">
        <v>114403.41737547633</v>
      </c>
      <c r="D33" s="46">
        <v>124973.24643408001</v>
      </c>
      <c r="E33" s="46">
        <v>116907.59879320901</v>
      </c>
      <c r="F33" s="46">
        <v>107566.865229282</v>
      </c>
      <c r="G33" s="46">
        <v>99409.351473932489</v>
      </c>
      <c r="H33" s="46">
        <v>91870.476465067535</v>
      </c>
      <c r="I33" s="46">
        <v>85653.655557176404</v>
      </c>
      <c r="J33" s="46">
        <v>79157.966834498729</v>
      </c>
      <c r="K33" s="46">
        <v>73154.889567893188</v>
      </c>
      <c r="L33" s="46">
        <v>67607.065740833175</v>
      </c>
      <c r="M33" s="46">
        <v>62479.97044467376</v>
      </c>
      <c r="N33" s="46">
        <v>57741.697025160633</v>
      </c>
      <c r="O33" s="46">
        <v>53362.758522714175</v>
      </c>
      <c r="P33" s="46">
        <v>49315.904170822774</v>
      </c>
      <c r="Q33" s="46">
        <v>45575.949810588507</v>
      </c>
      <c r="R33" s="46">
        <v>42119.621166070319</v>
      </c>
      <c r="S33" s="46">
        <v>38925.409005104637</v>
      </c>
      <c r="T33" s="46">
        <v>35973.435284248197</v>
      </c>
      <c r="U33" s="46">
        <v>33245.329444843795</v>
      </c>
      <c r="V33" s="46">
        <v>30724.114090381525</v>
      </c>
      <c r="W33" s="46">
        <v>28394.099333709153</v>
      </c>
      <c r="X33" s="46">
        <v>26240.785156599159</v>
      </c>
      <c r="Y33" s="46">
        <v>24250.771174041849</v>
      </c>
      <c r="Z33" s="46">
        <v>22411.673241714754</v>
      </c>
      <c r="AA33" s="46">
        <v>20712.046387664552</v>
      </c>
      <c r="AB33" s="46">
        <v>19141.313588594225</v>
      </c>
      <c r="AC33" s="46">
        <v>17689.699947520025</v>
      </c>
      <c r="AD33" s="46">
        <v>16348.171863176281</v>
      </c>
      <c r="AE33" s="46">
        <v>15108.380812610509</v>
      </c>
      <c r="AF33" s="46">
        <v>13962.611397119737</v>
      </c>
      <c r="AG33" s="46">
        <v>12903.733328210483</v>
      </c>
      <c r="AH33" s="46">
        <v>11925.157054784004</v>
      </c>
      <c r="AI33" s="46">
        <v>11020.792755408454</v>
      </c>
      <c r="AJ33" s="46">
        <v>10185.012440480885</v>
      </c>
    </row>
    <row r="34" spans="1:37" x14ac:dyDescent="0.45">
      <c r="A34" t="s">
        <v>110</v>
      </c>
      <c r="C34" s="46">
        <v>86744.216886003298</v>
      </c>
      <c r="D34" s="46">
        <v>86840.132953792694</v>
      </c>
      <c r="E34" s="46">
        <v>85635.623205222</v>
      </c>
      <c r="F34" s="46">
        <v>81072.853723113207</v>
      </c>
      <c r="G34" s="46">
        <v>73692.979047949993</v>
      </c>
      <c r="H34" s="46">
        <v>67627.418392855194</v>
      </c>
      <c r="I34" s="46">
        <v>62061.1051088932</v>
      </c>
      <c r="J34" s="46">
        <v>56952.946879663934</v>
      </c>
      <c r="K34" s="46">
        <v>52265.233636856661</v>
      </c>
      <c r="L34" s="46">
        <v>47963.359172387252</v>
      </c>
      <c r="M34" s="46">
        <v>44015.565664230715</v>
      </c>
      <c r="N34" s="46">
        <v>40392.709229956497</v>
      </c>
      <c r="O34" s="46">
        <v>37068.044777207324</v>
      </c>
      <c r="P34" s="46">
        <v>34017.02856281837</v>
      </c>
      <c r="Q34" s="46">
        <v>31217.137003004886</v>
      </c>
      <c r="R34" s="46">
        <v>28647.700397016601</v>
      </c>
      <c r="S34" s="46">
        <v>26289.750336753412</v>
      </c>
      <c r="T34" s="46">
        <v>24125.87967587106</v>
      </c>
      <c r="U34" s="46">
        <v>22140.114024623639</v>
      </c>
      <c r="V34" s="46">
        <v>20317.793821776504</v>
      </c>
      <c r="W34" s="46">
        <v>18645.466113006478</v>
      </c>
      <c r="X34" s="46">
        <v>17110.785236862666</v>
      </c>
      <c r="Y34" s="46">
        <v>15702.421685119696</v>
      </c>
      <c r="Z34" s="46">
        <v>14409.978464701142</v>
      </c>
      <c r="AA34" s="46">
        <v>13223.914343729959</v>
      </c>
      <c r="AB34" s="46">
        <v>12135.473415083534</v>
      </c>
      <c r="AC34" s="46">
        <v>11136.620457468878</v>
      </c>
      <c r="AD34" s="46">
        <v>10219.981616832591</v>
      </c>
      <c r="AE34" s="46">
        <v>9378.7899701966635</v>
      </c>
      <c r="AF34" s="46">
        <v>8606.8355700548618</v>
      </c>
      <c r="AG34" s="46">
        <v>7898.4196005413123</v>
      </c>
      <c r="AH34" s="46">
        <v>7248.3123069373942</v>
      </c>
      <c r="AI34" s="46">
        <v>6651.7143879390042</v>
      </c>
      <c r="AJ34" s="46">
        <v>6104.2215656694834</v>
      </c>
    </row>
    <row r="35" spans="1:37" x14ac:dyDescent="0.45">
      <c r="A35" t="s">
        <v>111</v>
      </c>
      <c r="C35" s="46">
        <v>56793.762826566803</v>
      </c>
      <c r="D35" s="46">
        <v>68293.762554837798</v>
      </c>
      <c r="E35" s="46">
        <v>70621.145078532529</v>
      </c>
      <c r="F35" s="46">
        <v>65396.578000056499</v>
      </c>
      <c r="G35" s="46">
        <v>55385.703214606401</v>
      </c>
      <c r="H35" s="46">
        <v>48112.04160749101</v>
      </c>
      <c r="I35" s="46">
        <v>41793.611226199828</v>
      </c>
      <c r="J35" s="46">
        <v>36304.96401663353</v>
      </c>
      <c r="K35" s="46">
        <v>31537.126694206028</v>
      </c>
      <c r="L35" s="46">
        <v>27395.437154839754</v>
      </c>
      <c r="M35" s="46">
        <v>23797.665024526701</v>
      </c>
      <c r="N35" s="46">
        <v>20672.379032270066</v>
      </c>
      <c r="O35" s="46">
        <v>17957.528791728102</v>
      </c>
      <c r="P35" s="46">
        <v>16315.335647110578</v>
      </c>
      <c r="Q35" s="46">
        <v>14823.318974740785</v>
      </c>
      <c r="R35" s="46">
        <v>13467.745327435185</v>
      </c>
      <c r="S35" s="46">
        <v>12236.137164269856</v>
      </c>
      <c r="T35" s="46">
        <v>11229.055916023841</v>
      </c>
      <c r="U35" s="46">
        <v>10304.861335927502</v>
      </c>
      <c r="V35" s="46">
        <v>9456.7315317363755</v>
      </c>
      <c r="W35" s="46">
        <v>8678.4060792301552</v>
      </c>
      <c r="X35" s="46">
        <v>7964.1398112303368</v>
      </c>
      <c r="Y35" s="46">
        <v>7308.6604099598117</v>
      </c>
      <c r="Z35" s="46">
        <v>6707.1294897147081</v>
      </c>
      <c r="AA35" s="46">
        <v>6155.1068825823368</v>
      </c>
      <c r="AB35" s="46">
        <v>5648.517863582194</v>
      </c>
      <c r="AC35" s="46">
        <v>5183.6230733041784</v>
      </c>
      <c r="AD35" s="46">
        <v>4756.9909160296065</v>
      </c>
      <c r="AE35" s="46">
        <v>4365.472229593247</v>
      </c>
      <c r="AF35" s="46">
        <v>4006.17704001334</v>
      </c>
      <c r="AG35" s="46">
        <v>3676.4532293051502</v>
      </c>
      <c r="AH35" s="46">
        <v>3373.8669590156856</v>
      </c>
      <c r="AI35" s="46">
        <v>3096.1847049769576</v>
      </c>
      <c r="AJ35" s="46">
        <v>2841.3567706682893</v>
      </c>
    </row>
    <row r="36" spans="1:37" x14ac:dyDescent="0.45">
      <c r="A36" t="s">
        <v>112</v>
      </c>
      <c r="C36" s="63">
        <v>21944.493863732499</v>
      </c>
      <c r="D36" s="63">
        <v>38431.698757434904</v>
      </c>
      <c r="E36" s="63">
        <v>42893.596981949398</v>
      </c>
      <c r="F36" s="63">
        <v>43151.690749756599</v>
      </c>
      <c r="G36" s="63">
        <v>41594.976131889802</v>
      </c>
      <c r="H36" s="63">
        <v>39980.875829615958</v>
      </c>
      <c r="I36" s="63">
        <v>39934.891790826281</v>
      </c>
      <c r="J36" s="63">
        <v>39859.289083658252</v>
      </c>
      <c r="K36" s="63">
        <v>39742.575600372533</v>
      </c>
      <c r="L36" s="63">
        <v>39571.110111474016</v>
      </c>
      <c r="M36" s="63">
        <v>39329.163699167933</v>
      </c>
      <c r="N36" s="63">
        <v>38999.098580168575</v>
      </c>
      <c r="O36" s="63">
        <v>38561.696837338794</v>
      </c>
      <c r="P36" s="63">
        <v>37996.673316165987</v>
      </c>
      <c r="Q36" s="63">
        <v>37283.404693446406</v>
      </c>
      <c r="R36" s="63">
        <v>36401.898729584769</v>
      </c>
      <c r="S36" s="63">
        <v>35334.01213744453</v>
      </c>
      <c r="T36" s="63">
        <v>34064.90080070652</v>
      </c>
      <c r="U36" s="63">
        <v>32584.6515685997</v>
      </c>
      <c r="V36" s="63">
        <v>30890.001442701658</v>
      </c>
      <c r="W36" s="63">
        <v>28986.000955238218</v>
      </c>
      <c r="X36" s="63">
        <v>26887.430314528938</v>
      </c>
      <c r="Y36" s="63">
        <v>24619.739226101326</v>
      </c>
      <c r="Z36" s="63">
        <v>22219.266752394658</v>
      </c>
      <c r="AA36" s="63">
        <v>19732.519716383951</v>
      </c>
      <c r="AB36" s="63">
        <v>17214.358309146446</v>
      </c>
      <c r="AC36" s="63">
        <v>14725.060341253746</v>
      </c>
      <c r="AD36" s="63">
        <v>12326.404074316662</v>
      </c>
      <c r="AE36" s="63">
        <v>10077.101832694883</v>
      </c>
      <c r="AF36" s="63">
        <v>8028.0955416801617</v>
      </c>
      <c r="AG36" s="63">
        <v>6218.3440145814375</v>
      </c>
      <c r="AH36" s="63">
        <v>4671.7446708549824</v>
      </c>
      <c r="AI36" s="63">
        <v>3395.7107859501425</v>
      </c>
      <c r="AJ36" s="63">
        <v>2381.6727425176314</v>
      </c>
      <c r="AK36">
        <v>2262.8926515367602</v>
      </c>
    </row>
    <row r="37" spans="1:37" x14ac:dyDescent="0.45">
      <c r="A37" t="s">
        <v>310</v>
      </c>
      <c r="C37" s="64">
        <v>28173</v>
      </c>
      <c r="D37" s="64">
        <v>30000</v>
      </c>
      <c r="E37" s="64">
        <v>31415</v>
      </c>
      <c r="F37" s="64">
        <v>31000</v>
      </c>
      <c r="G37" s="64">
        <v>29118.664409237783</v>
      </c>
      <c r="H37" s="64">
        <v>27351.503773477776</v>
      </c>
      <c r="I37" s="64">
        <v>25691.589015093556</v>
      </c>
      <c r="J37" s="64">
        <v>24132.411570018357</v>
      </c>
      <c r="K37" s="64">
        <v>22667.857867515213</v>
      </c>
      <c r="L37" s="64">
        <v>21292.185358725026</v>
      </c>
      <c r="M37" s="64">
        <v>20000</v>
      </c>
      <c r="N37" s="64">
        <v>18786.235102734052</v>
      </c>
      <c r="O37" s="64">
        <v>17646.131466759856</v>
      </c>
      <c r="P37" s="64">
        <v>16575.218719415196</v>
      </c>
      <c r="Q37" s="64">
        <v>15569.297787108615</v>
      </c>
      <c r="R37" s="64">
        <v>14624.424430654974</v>
      </c>
      <c r="S37" s="64">
        <v>13736.893779822596</v>
      </c>
      <c r="T37" s="64">
        <v>12903.225806451615</v>
      </c>
      <c r="U37" s="64">
        <v>12120.151679183262</v>
      </c>
      <c r="V37" s="64">
        <v>11384.600946296683</v>
      </c>
      <c r="W37" s="64">
        <v>10693.689496396903</v>
      </c>
      <c r="X37" s="64">
        <v>10044.708249747497</v>
      </c>
      <c r="Y37" s="64">
        <v>9435.1125359064372</v>
      </c>
      <c r="Z37" s="64">
        <v>8862.5121160145809</v>
      </c>
      <c r="AA37" s="64">
        <v>8324.6618106139485</v>
      </c>
      <c r="AB37" s="64">
        <v>7819.4526962472692</v>
      </c>
      <c r="AC37" s="64">
        <v>7344.9038363204436</v>
      </c>
      <c r="AD37" s="64">
        <v>6899.1545138044567</v>
      </c>
      <c r="AE37" s="64">
        <v>6480.4569353209681</v>
      </c>
      <c r="AF37" s="64">
        <v>6087.1693780041551</v>
      </c>
      <c r="AG37" s="64">
        <v>5717.749752267473</v>
      </c>
      <c r="AH37" s="64">
        <v>5370.7495552348064</v>
      </c>
      <c r="AI37" s="64">
        <v>5044.8081911272711</v>
      </c>
      <c r="AJ37" s="64">
        <v>4738.6476363357706</v>
      </c>
      <c r="AK37" s="46"/>
    </row>
    <row r="38" spans="1:37" x14ac:dyDescent="0.45">
      <c r="A38" t="s">
        <v>311</v>
      </c>
      <c r="C38" s="65">
        <v>7885.9301433427845</v>
      </c>
      <c r="D38" s="65">
        <v>10063.515509500618</v>
      </c>
      <c r="E38" s="65">
        <v>10217.615822953636</v>
      </c>
      <c r="F38" s="65">
        <v>9585.7456884871463</v>
      </c>
      <c r="G38" s="65">
        <v>8353.7352390454125</v>
      </c>
      <c r="H38" s="65">
        <v>6904.3111808786671</v>
      </c>
      <c r="I38" s="65">
        <v>5706.3710446075138</v>
      </c>
      <c r="J38" s="65">
        <v>4716.280834635123</v>
      </c>
      <c r="K38" s="65">
        <v>3897.9773199582528</v>
      </c>
      <c r="L38" s="65">
        <v>3221.6544602956051</v>
      </c>
      <c r="M38" s="65">
        <v>2662.6777453014338</v>
      </c>
      <c r="N38" s="65">
        <v>2200.6869025528554</v>
      </c>
      <c r="O38" s="65">
        <v>1766.3889162055234</v>
      </c>
      <c r="P38" s="65">
        <v>1417.7981427863681</v>
      </c>
      <c r="Q38" s="65">
        <v>1138.0005587934686</v>
      </c>
      <c r="R38" s="65">
        <v>913.42006505180063</v>
      </c>
      <c r="S38" s="65">
        <v>733.15975883510635</v>
      </c>
      <c r="T38" s="65">
        <v>588.47320366743645</v>
      </c>
      <c r="U38" s="65">
        <v>472.34004220968438</v>
      </c>
      <c r="V38" s="65">
        <v>379.12536048239451</v>
      </c>
      <c r="W38" s="65">
        <v>304.30627538686912</v>
      </c>
      <c r="X38" s="65">
        <v>244.25247923800973</v>
      </c>
      <c r="Y38" s="65">
        <v>196.05009307832594</v>
      </c>
      <c r="Z38" s="65">
        <v>157.36028193419887</v>
      </c>
      <c r="AA38" s="65">
        <v>126.30577186473221</v>
      </c>
      <c r="AB38" s="65">
        <v>101.37976248045032</v>
      </c>
      <c r="AC38" s="65">
        <v>81.37281526294494</v>
      </c>
      <c r="AD38" s="65">
        <v>65.314170223018976</v>
      </c>
      <c r="AE38" s="65">
        <v>52.424643514381359</v>
      </c>
      <c r="AF38" s="65">
        <v>42.078820541171879</v>
      </c>
      <c r="AG38" s="65">
        <v>33.774710125600038</v>
      </c>
      <c r="AH38" s="65">
        <v>27.109387321162323</v>
      </c>
      <c r="AI38" s="65">
        <v>21.7594430328435</v>
      </c>
      <c r="AJ38" s="65">
        <v>17.465291837486692</v>
      </c>
      <c r="AK38" s="46"/>
    </row>
    <row r="39" spans="1:37" x14ac:dyDescent="0.45">
      <c r="A39" t="s">
        <v>312</v>
      </c>
      <c r="C39" s="66">
        <v>36000</v>
      </c>
      <c r="D39" s="66">
        <v>40000</v>
      </c>
      <c r="E39" s="66">
        <v>39868.74</v>
      </c>
      <c r="F39" s="66">
        <v>36720</v>
      </c>
      <c r="G39" s="66">
        <v>34000</v>
      </c>
      <c r="H39" s="66">
        <v>31636.634280095561</v>
      </c>
      <c r="I39" s="66">
        <v>29437.547899191693</v>
      </c>
      <c r="J39" s="66">
        <v>27391.321676162443</v>
      </c>
      <c r="K39" s="66">
        <v>25487.330185800158</v>
      </c>
      <c r="L39" s="66">
        <v>23715.686584241164</v>
      </c>
      <c r="M39" s="66">
        <v>22067.191269617837</v>
      </c>
      <c r="N39" s="66">
        <v>20533.284111347562</v>
      </c>
      <c r="O39" s="66">
        <v>19106</v>
      </c>
      <c r="P39" s="66">
        <v>17777.927486926641</v>
      </c>
      <c r="Q39" s="66">
        <v>16542.170298881072</v>
      </c>
      <c r="R39" s="66">
        <v>15392.311527787046</v>
      </c>
      <c r="S39" s="66">
        <v>14322.380309702874</v>
      </c>
      <c r="T39" s="66">
        <v>13326.820819956225</v>
      </c>
      <c r="U39" s="66">
        <v>12400.463423450539</v>
      </c>
      <c r="V39" s="66">
        <v>11538.497830335486</v>
      </c>
      <c r="W39" s="66">
        <v>10736.448117647056</v>
      </c>
      <c r="X39" s="66">
        <v>9990.1494872123621</v>
      </c>
      <c r="Y39" s="66">
        <v>9295.7266391300509</v>
      </c>
      <c r="Z39" s="66">
        <v>8649.5736485264497</v>
      </c>
      <c r="AA39" s="66">
        <v>8048.3352410936213</v>
      </c>
      <c r="AB39" s="66">
        <v>7488.8893701789302</v>
      </c>
      <c r="AC39" s="66">
        <v>6968.3310049542943</v>
      </c>
      <c r="AD39" s="66">
        <v>6483.9570454820523</v>
      </c>
      <c r="AE39" s="66">
        <v>6033.252286346019</v>
      </c>
      <c r="AF39" s="66">
        <v>5613.8763559611589</v>
      </c>
      <c r="AG39" s="66">
        <v>5223.6515637417278</v>
      </c>
      <c r="AH39" s="66">
        <v>4860.5515920219514</v>
      </c>
      <c r="AI39" s="66">
        <v>4522.6909740098445</v>
      </c>
      <c r="AJ39" s="66">
        <v>4208.31530313643</v>
      </c>
      <c r="AK39" s="46"/>
    </row>
    <row r="40" spans="1:37" x14ac:dyDescent="0.45">
      <c r="A40" t="s">
        <v>313</v>
      </c>
      <c r="C40" s="66">
        <v>7885.9301433427845</v>
      </c>
      <c r="D40" s="66">
        <v>10063.515509500618</v>
      </c>
      <c r="E40" s="66">
        <v>10217.615822953636</v>
      </c>
      <c r="F40" s="66">
        <v>9585.7456884871463</v>
      </c>
      <c r="G40" s="66">
        <v>8353.7352390454125</v>
      </c>
      <c r="H40" s="66">
        <v>6904.3111808786671</v>
      </c>
      <c r="I40" s="66">
        <v>5706.3710446075138</v>
      </c>
      <c r="J40" s="66">
        <v>4716.280834635123</v>
      </c>
      <c r="K40" s="66">
        <v>3897.9773199582528</v>
      </c>
      <c r="L40" s="66">
        <v>3221.6544602956051</v>
      </c>
      <c r="M40" s="66">
        <v>2662.6777453014338</v>
      </c>
      <c r="N40" s="66">
        <v>2200.6869025528554</v>
      </c>
      <c r="O40" s="66">
        <v>1766.3889162055234</v>
      </c>
      <c r="P40" s="66">
        <v>1417.7981427863681</v>
      </c>
      <c r="Q40" s="66">
        <v>1138.0005587934686</v>
      </c>
      <c r="R40" s="66">
        <v>913.42006505180063</v>
      </c>
      <c r="S40" s="66">
        <v>733.15975883510635</v>
      </c>
      <c r="T40" s="66">
        <v>588.47320366743645</v>
      </c>
      <c r="U40" s="66">
        <v>472.34004220968438</v>
      </c>
      <c r="V40" s="66">
        <v>379.12536048239451</v>
      </c>
      <c r="W40" s="66">
        <v>304.30627538686912</v>
      </c>
      <c r="X40" s="66">
        <v>244.25247923800973</v>
      </c>
      <c r="Y40" s="66">
        <v>196.05009307832594</v>
      </c>
      <c r="Z40" s="66">
        <v>157.36028193419887</v>
      </c>
      <c r="AA40" s="66">
        <v>126.30577186473221</v>
      </c>
      <c r="AB40" s="66">
        <v>101.37976248045032</v>
      </c>
      <c r="AC40" s="66">
        <v>81.37281526294494</v>
      </c>
      <c r="AD40" s="66">
        <v>65.314170223018976</v>
      </c>
      <c r="AE40" s="66">
        <v>52.424643514381359</v>
      </c>
      <c r="AF40" s="66">
        <v>42.078820541171879</v>
      </c>
      <c r="AG40" s="66">
        <v>33.774710125600038</v>
      </c>
      <c r="AH40" s="66">
        <v>27.109387321162323</v>
      </c>
      <c r="AI40" s="66">
        <v>21.7594430328435</v>
      </c>
      <c r="AJ40" s="66">
        <v>17.465291837486692</v>
      </c>
      <c r="AK40" s="46"/>
    </row>
    <row r="41" spans="1:37" x14ac:dyDescent="0.45">
      <c r="A41" t="s">
        <v>314</v>
      </c>
      <c r="C41" s="67">
        <v>135589</v>
      </c>
      <c r="D41" s="67">
        <v>146351.24</v>
      </c>
      <c r="E41" s="67">
        <v>141924.06610559899</v>
      </c>
      <c r="F41" s="67">
        <v>133198.6416400123</v>
      </c>
      <c r="G41" s="67">
        <v>125009.65214415097</v>
      </c>
      <c r="H41" s="67">
        <v>117324.11784976658</v>
      </c>
      <c r="I41" s="67">
        <v>110111.08656916585</v>
      </c>
      <c r="J41" s="67">
        <v>103341.50904051702</v>
      </c>
      <c r="K41" s="67">
        <v>96988.12193686777</v>
      </c>
      <c r="L41" s="67">
        <v>91025.338067713485</v>
      </c>
      <c r="M41" s="67">
        <v>85429.143330921099</v>
      </c>
      <c r="N41" s="67">
        <v>80177</v>
      </c>
      <c r="O41" s="67">
        <v>75000</v>
      </c>
      <c r="P41" s="67">
        <v>68996.027967021859</v>
      </c>
      <c r="Q41" s="67">
        <v>63472.691669680833</v>
      </c>
      <c r="R41" s="67">
        <v>58391.514794446055</v>
      </c>
      <c r="S41" s="67">
        <v>53717.10117059161</v>
      </c>
      <c r="T41" s="67">
        <v>49416.888195646417</v>
      </c>
      <c r="U41" s="67">
        <v>45460.919999866834</v>
      </c>
      <c r="V41" s="67">
        <v>41821.638769564735</v>
      </c>
      <c r="W41" s="67">
        <v>38473.692775620992</v>
      </c>
      <c r="X41" s="67">
        <v>35393.759769884702</v>
      </c>
      <c r="Y41" s="67">
        <v>32560.384519213574</v>
      </c>
      <c r="Z41" s="67">
        <v>29953.829345395272</v>
      </c>
      <c r="AA41" s="67">
        <v>27555.936629790562</v>
      </c>
      <c r="AB41" s="67">
        <v>25350.002324886824</v>
      </c>
      <c r="AC41" s="67">
        <v>23320.659591626139</v>
      </c>
      <c r="AD41" s="67">
        <v>21453.771751909782</v>
      </c>
      <c r="AE41" s="67">
        <v>19736.33381057161</v>
      </c>
      <c r="AF41" s="67">
        <v>18156.381860809041</v>
      </c>
      <c r="AG41" s="67">
        <v>16702.909741977452</v>
      </c>
      <c r="AH41" s="67">
        <v>15365.792369174907</v>
      </c>
      <c r="AI41" s="67">
        <v>14135.715200520573</v>
      </c>
      <c r="AJ41" s="67">
        <v>13004.109350786313</v>
      </c>
      <c r="AK41" s="46"/>
    </row>
    <row r="42" spans="1:37" x14ac:dyDescent="0.45">
      <c r="A42" t="s">
        <v>315</v>
      </c>
      <c r="C42" s="68">
        <v>70024</v>
      </c>
      <c r="D42" s="68">
        <v>86031</v>
      </c>
      <c r="E42" s="68">
        <v>87496</v>
      </c>
      <c r="F42" s="68">
        <v>75852</v>
      </c>
      <c r="G42" s="68">
        <v>60359.5</v>
      </c>
      <c r="H42" s="68">
        <v>44867</v>
      </c>
      <c r="I42" s="68">
        <v>28929.146862456717</v>
      </c>
      <c r="J42" s="68">
        <v>18652.808036855356</v>
      </c>
      <c r="K42" s="68">
        <v>12026.875500822465</v>
      </c>
      <c r="L42" s="68">
        <v>7754.6358717938747</v>
      </c>
      <c r="M42" s="68">
        <v>5000</v>
      </c>
      <c r="N42" s="68">
        <v>4250.8012185460584</v>
      </c>
      <c r="O42" s="68">
        <v>3613.8621999185307</v>
      </c>
      <c r="P42" s="68">
        <v>3072.3619686142456</v>
      </c>
      <c r="Q42" s="68">
        <v>2612</v>
      </c>
      <c r="R42" s="68">
        <v>2220.6185565684609</v>
      </c>
      <c r="S42" s="68">
        <v>1887.8816132374404</v>
      </c>
      <c r="T42" s="68">
        <v>1605.0018924040819</v>
      </c>
      <c r="U42" s="68">
        <v>1364.5088000000001</v>
      </c>
      <c r="V42" s="68">
        <v>1160.0511339513639</v>
      </c>
      <c r="W42" s="68">
        <v>986.22935475523877</v>
      </c>
      <c r="X42" s="68">
        <v>838.45298859189234</v>
      </c>
      <c r="Y42" s="68">
        <v>712.81939711999996</v>
      </c>
      <c r="Z42" s="68">
        <v>606.01071237619249</v>
      </c>
      <c r="AA42" s="68">
        <v>515.2062149241367</v>
      </c>
      <c r="AB42" s="68">
        <v>438.0078412404045</v>
      </c>
      <c r="AC42" s="68">
        <v>372.37685305548797</v>
      </c>
      <c r="AD42" s="68">
        <v>316.57999614532292</v>
      </c>
      <c r="AE42" s="68">
        <v>269.143726676369</v>
      </c>
      <c r="AF42" s="68">
        <v>228.81529626398731</v>
      </c>
      <c r="AG42" s="68">
        <v>194.52966803618691</v>
      </c>
      <c r="AH42" s="68">
        <v>165.38138998631669</v>
      </c>
      <c r="AI42" s="68">
        <v>140.60068281573515</v>
      </c>
      <c r="AJ42" s="68">
        <v>119.53311076830695</v>
      </c>
      <c r="AK42" s="46"/>
    </row>
    <row r="43" spans="1:37" x14ac:dyDescent="0.45">
      <c r="A43" t="s">
        <v>316</v>
      </c>
      <c r="C43" s="70">
        <v>117720</v>
      </c>
      <c r="D43" s="70">
        <v>119849</v>
      </c>
      <c r="E43" s="70">
        <v>117416.52</v>
      </c>
      <c r="F43" s="70">
        <v>105952</v>
      </c>
      <c r="G43" s="70">
        <v>97187.04057723911</v>
      </c>
      <c r="H43" s="70">
        <v>89147.16905921475</v>
      </c>
      <c r="I43" s="70">
        <v>81772.401999999041</v>
      </c>
      <c r="J43" s="70">
        <v>75007.71812964564</v>
      </c>
      <c r="K43" s="70">
        <v>68802.647854424489</v>
      </c>
      <c r="L43" s="70">
        <v>63110.896715960487</v>
      </c>
      <c r="M43" s="70">
        <v>57890</v>
      </c>
      <c r="N43" s="70">
        <v>52779.790253831059</v>
      </c>
      <c r="O43" s="70">
        <v>48120.681624432546</v>
      </c>
      <c r="P43" s="70">
        <v>43872.853394522928</v>
      </c>
      <c r="Q43" s="70">
        <v>40000</v>
      </c>
      <c r="R43" s="70">
        <v>36469.020731615863</v>
      </c>
      <c r="S43" s="70">
        <v>33249.736828075693</v>
      </c>
      <c r="T43" s="70">
        <v>30167.878378322646</v>
      </c>
      <c r="U43" s="70">
        <v>27371.671858791626</v>
      </c>
      <c r="V43" s="70">
        <v>24834.640704588452</v>
      </c>
      <c r="W43" s="70">
        <v>22532.762416114598</v>
      </c>
      <c r="X43" s="70">
        <v>20444.241096158046</v>
      </c>
      <c r="Y43" s="70">
        <v>18549.301070113044</v>
      </c>
      <c r="Z43" s="70">
        <v>16829.999635171444</v>
      </c>
      <c r="AA43" s="70">
        <v>15270.057165455491</v>
      </c>
      <c r="AB43" s="70">
        <v>13854.702964401064</v>
      </c>
      <c r="AC43" s="70">
        <v>12570.535404806904</v>
      </c>
      <c r="AD43" s="70">
        <v>11405.395032251778</v>
      </c>
      <c r="AE43" s="70">
        <v>10348.249430328202</v>
      </c>
      <c r="AF43" s="70">
        <v>9389.0887575110864</v>
      </c>
      <c r="AG43" s="70">
        <v>8518.8309665265933</v>
      </c>
      <c r="AH43" s="70">
        <v>7729.2358087676457</v>
      </c>
      <c r="AI43" s="70">
        <v>7012.8268094858613</v>
      </c>
      <c r="AJ43" s="70">
        <v>6362.8204749629567</v>
      </c>
      <c r="AK43" s="46"/>
    </row>
    <row r="44" spans="1:37" x14ac:dyDescent="0.45">
      <c r="A44" t="s">
        <v>317</v>
      </c>
      <c r="C44" s="69">
        <v>27266</v>
      </c>
      <c r="D44" s="69">
        <v>30000</v>
      </c>
      <c r="E44" s="69">
        <v>30803.968679386297</v>
      </c>
      <c r="F44" s="69">
        <v>27002.057481388678</v>
      </c>
      <c r="G44" s="69">
        <v>22480.283460424442</v>
      </c>
      <c r="H44" s="69">
        <v>18441.80592102473</v>
      </c>
      <c r="I44" s="69">
        <v>15128.821939788899</v>
      </c>
      <c r="J44" s="69">
        <v>12411</v>
      </c>
      <c r="K44" s="69">
        <v>9693.1780602111012</v>
      </c>
      <c r="L44" s="69">
        <v>7570.5181618691358</v>
      </c>
      <c r="M44" s="69">
        <v>5912.6887882571573</v>
      </c>
      <c r="N44" s="69">
        <v>4617.8990604456076</v>
      </c>
      <c r="O44" s="69">
        <v>3606.6487677850955</v>
      </c>
      <c r="P44" s="69">
        <v>2816.8470475209001</v>
      </c>
      <c r="Q44" s="69">
        <v>2200</v>
      </c>
      <c r="R44" s="69">
        <v>1718.2331586870052</v>
      </c>
      <c r="S44" s="69">
        <v>1341.9659943688744</v>
      </c>
      <c r="T44" s="69">
        <v>1033.4021515646143</v>
      </c>
      <c r="U44" s="69">
        <v>795.78768116297624</v>
      </c>
      <c r="V44" s="69">
        <v>612.80889780608368</v>
      </c>
      <c r="W44" s="69">
        <v>471.90318990801029</v>
      </c>
      <c r="X44" s="69">
        <v>363.39651960442671</v>
      </c>
      <c r="Y44" s="69">
        <v>279.83924093912742</v>
      </c>
      <c r="Z44" s="69">
        <v>215.49463614739881</v>
      </c>
      <c r="AA44" s="69">
        <v>165.94505492673667</v>
      </c>
      <c r="AB44" s="69">
        <v>127.78861574912594</v>
      </c>
      <c r="AC44" s="69">
        <v>98.405645906636281</v>
      </c>
      <c r="AD44" s="69">
        <v>75.77882497227472</v>
      </c>
      <c r="AE44" s="69">
        <v>58.354683425652794</v>
      </c>
      <c r="AF44" s="69">
        <v>44.936947477795371</v>
      </c>
      <c r="AG44" s="69">
        <v>34.604407565587785</v>
      </c>
      <c r="AH44" s="69">
        <v>26.647671686133346</v>
      </c>
      <c r="AI44" s="69">
        <v>20.520461300950213</v>
      </c>
      <c r="AJ44" s="69">
        <v>15.802105976219964</v>
      </c>
      <c r="AK44" s="16"/>
    </row>
    <row r="45" spans="1:37" x14ac:dyDescent="0.45">
      <c r="A45" t="s">
        <v>318</v>
      </c>
      <c r="C45" s="71">
        <v>29899.7599999999</v>
      </c>
      <c r="D45" s="71">
        <v>52223</v>
      </c>
      <c r="E45" s="71">
        <v>54633.5</v>
      </c>
      <c r="F45" s="71">
        <v>55050</v>
      </c>
      <c r="G45" s="71">
        <v>53722.5</v>
      </c>
      <c r="H45" s="71">
        <v>50243.869858904705</v>
      </c>
      <c r="I45" s="71">
        <v>50205.551120379707</v>
      </c>
      <c r="J45" s="71">
        <v>50140.709223483034</v>
      </c>
      <c r="K45" s="71">
        <v>50038.015028654852</v>
      </c>
      <c r="L45" s="71">
        <v>49883.610380381855</v>
      </c>
      <c r="M45" s="71">
        <v>49661.033776113909</v>
      </c>
      <c r="N45" s="71">
        <v>49351.249259300581</v>
      </c>
      <c r="O45" s="71">
        <v>48932.814095120135</v>
      </c>
      <c r="P45" s="71">
        <v>48382.226718098362</v>
      </c>
      <c r="Q45" s="71">
        <v>47674.499874960937</v>
      </c>
      <c r="R45" s="71">
        <v>46784.002937129953</v>
      </c>
      <c r="S45" s="71">
        <v>45685.609693499398</v>
      </c>
      <c r="T45" s="71">
        <v>44356.170975535948</v>
      </c>
      <c r="U45" s="71">
        <v>42776.302794755844</v>
      </c>
      <c r="V45" s="71">
        <v>40932.438708517999</v>
      </c>
      <c r="W45" s="71">
        <v>38819.040094792494</v>
      </c>
      <c r="X45" s="71">
        <v>36440.793094201406</v>
      </c>
      <c r="Y45" s="71">
        <v>33814.553462774842</v>
      </c>
      <c r="Z45" s="71">
        <v>30970.742606169741</v>
      </c>
      <c r="AA45" s="71">
        <v>27953.866346254319</v>
      </c>
      <c r="AB45" s="71">
        <v>24821.84188282779</v>
      </c>
      <c r="AC45" s="71">
        <v>21643.89595794864</v>
      </c>
      <c r="AD45" s="71">
        <v>18496.948871744826</v>
      </c>
      <c r="AE45" s="71">
        <v>15460.620347512055</v>
      </c>
      <c r="AF45" s="71">
        <v>12611.258748523165</v>
      </c>
      <c r="AG45" s="71">
        <v>10015.655995590017</v>
      </c>
      <c r="AH45" s="71">
        <v>7725.3001269364149</v>
      </c>
      <c r="AI45" s="71">
        <v>5772.0663452645313</v>
      </c>
      <c r="AJ45" s="71">
        <v>4166.1061664884464</v>
      </c>
      <c r="AK45" s="16">
        <f>AK36*1.5</f>
        <v>3394.3389773051404</v>
      </c>
    </row>
    <row r="46" spans="1:37" x14ac:dyDescent="0.45">
      <c r="A46" t="s">
        <v>319</v>
      </c>
      <c r="C46" s="72">
        <v>4597</v>
      </c>
      <c r="D46" s="72">
        <v>20880</v>
      </c>
      <c r="E46" s="72">
        <v>30498</v>
      </c>
      <c r="F46" s="72">
        <v>31080</v>
      </c>
      <c r="G46" s="72">
        <v>30244</v>
      </c>
      <c r="H46" s="72">
        <v>26912</v>
      </c>
      <c r="I46" s="72">
        <v>26909.24071504231</v>
      </c>
      <c r="J46" s="72">
        <v>26904.974038751854</v>
      </c>
      <c r="K46" s="72">
        <v>26895.978587622703</v>
      </c>
      <c r="L46" s="72">
        <v>26878.514082159032</v>
      </c>
      <c r="M46" s="72">
        <v>26846.783935474312</v>
      </c>
      <c r="N46" s="72">
        <v>26792.206604358533</v>
      </c>
      <c r="O46" s="72">
        <v>26702.569154459674</v>
      </c>
      <c r="P46" s="72">
        <v>26561.10114119076</v>
      </c>
      <c r="Q46" s="72">
        <v>26345.551797420751</v>
      </c>
      <c r="R46" s="72">
        <v>26027.423832011522</v>
      </c>
      <c r="S46" s="72">
        <v>25571.618756931588</v>
      </c>
      <c r="T46" s="72">
        <v>24936.880912988199</v>
      </c>
      <c r="U46" s="72">
        <v>24077.573364462009</v>
      </c>
      <c r="V46" s="72">
        <v>22947.4304577111</v>
      </c>
      <c r="W46" s="72">
        <v>21505.911975460494</v>
      </c>
      <c r="X46" s="72">
        <v>19727.476659915483</v>
      </c>
      <c r="Y46" s="72">
        <v>17613.307327101946</v>
      </c>
      <c r="Z46" s="72">
        <v>15203.626113354039</v>
      </c>
      <c r="AA46" s="72">
        <v>12586.873315995632</v>
      </c>
      <c r="AB46" s="72">
        <v>9900.3715208058566</v>
      </c>
      <c r="AC46" s="72">
        <v>7317.0459900145206</v>
      </c>
      <c r="AD46" s="72">
        <v>5016.0165511089781</v>
      </c>
      <c r="AE46" s="72">
        <v>3142.056631015852</v>
      </c>
      <c r="AF46" s="72">
        <v>1767.6471454769826</v>
      </c>
      <c r="AG46" s="72">
        <v>875.56670935485397</v>
      </c>
      <c r="AH46" s="72">
        <v>373.29559560519317</v>
      </c>
      <c r="AI46" s="72">
        <v>133.50262102436918</v>
      </c>
      <c r="AJ46" s="72">
        <v>38.896773066086865</v>
      </c>
      <c r="AK46" s="16">
        <f>AK36*0.5</f>
        <v>1131.4463257683801</v>
      </c>
    </row>
    <row r="48" spans="1:37" x14ac:dyDescent="0.45">
      <c r="A48" t="s">
        <v>68</v>
      </c>
      <c r="C48">
        <v>13843</v>
      </c>
      <c r="D48">
        <v>13539.26</v>
      </c>
      <c r="E48">
        <v>13216.224</v>
      </c>
      <c r="F48">
        <v>12875.072</v>
      </c>
      <c r="G48">
        <v>12469.248</v>
      </c>
      <c r="H48">
        <v>12016.237999999999</v>
      </c>
      <c r="I48">
        <v>11521.429</v>
      </c>
      <c r="J48">
        <v>10955.46</v>
      </c>
      <c r="K48">
        <v>10361.040000000001</v>
      </c>
      <c r="L48">
        <v>9722.0910000000003</v>
      </c>
      <c r="M48">
        <v>9058.7579999999998</v>
      </c>
      <c r="N48">
        <v>8366.5540000000001</v>
      </c>
      <c r="O48">
        <v>7681.424</v>
      </c>
      <c r="P48">
        <v>6727.66</v>
      </c>
      <c r="Q48">
        <v>5515.1610000000001</v>
      </c>
      <c r="R48">
        <v>4400.79</v>
      </c>
      <c r="S48">
        <v>3432.0499999999997</v>
      </c>
      <c r="T48">
        <v>2630.1040000000003</v>
      </c>
      <c r="U48">
        <v>1979.9460000000001</v>
      </c>
      <c r="V48">
        <v>1474.7950000000001</v>
      </c>
      <c r="W48">
        <v>1093.0340000000001</v>
      </c>
      <c r="X48">
        <v>801.48</v>
      </c>
      <c r="Y48">
        <v>590.27199999999993</v>
      </c>
      <c r="Z48">
        <v>432.39000000000004</v>
      </c>
      <c r="AA48">
        <v>316.03899999999999</v>
      </c>
      <c r="AB48">
        <v>231.12</v>
      </c>
      <c r="AC48">
        <v>168.69</v>
      </c>
      <c r="AD48">
        <v>126.477</v>
      </c>
      <c r="AE48">
        <v>70.33</v>
      </c>
      <c r="AF48">
        <v>53.58</v>
      </c>
      <c r="AG48">
        <v>37.506</v>
      </c>
    </row>
    <row r="49" spans="1:38" x14ac:dyDescent="0.45">
      <c r="A49" t="s">
        <v>69</v>
      </c>
      <c r="C49">
        <v>15962</v>
      </c>
      <c r="D49">
        <v>15528.97</v>
      </c>
      <c r="E49">
        <v>15044.24</v>
      </c>
      <c r="F49">
        <v>14690.353999999999</v>
      </c>
      <c r="G49">
        <v>13946.88</v>
      </c>
      <c r="H49">
        <v>13250.221</v>
      </c>
      <c r="I49">
        <v>12450.612000000001</v>
      </c>
      <c r="J49">
        <v>11682.791999999999</v>
      </c>
      <c r="K49">
        <v>10775.296</v>
      </c>
      <c r="L49">
        <v>9940.1939999999995</v>
      </c>
      <c r="M49">
        <v>9090.48</v>
      </c>
      <c r="N49">
        <v>8248.0709999999999</v>
      </c>
      <c r="O49">
        <v>7416.7769999999991</v>
      </c>
      <c r="P49">
        <v>6609.6030000000001</v>
      </c>
      <c r="Q49">
        <v>5863.0549999999994</v>
      </c>
      <c r="R49">
        <v>5109.1670000000004</v>
      </c>
      <c r="S49">
        <v>4416.0940000000001</v>
      </c>
      <c r="T49">
        <v>3797.4990000000003</v>
      </c>
      <c r="U49">
        <v>3259.6629999999996</v>
      </c>
      <c r="V49">
        <v>2790.424</v>
      </c>
      <c r="W49">
        <v>2383.9920000000002</v>
      </c>
      <c r="X49">
        <v>2041.6319999999998</v>
      </c>
      <c r="Y49">
        <v>1749.81</v>
      </c>
      <c r="Z49">
        <v>1503.9</v>
      </c>
      <c r="AA49">
        <v>1298.088</v>
      </c>
      <c r="AB49">
        <v>1127.694</v>
      </c>
      <c r="AC49">
        <v>989.298</v>
      </c>
      <c r="AD49">
        <v>859.97800000000007</v>
      </c>
      <c r="AE49">
        <v>756.52200000000005</v>
      </c>
      <c r="AF49">
        <v>659.53199999999993</v>
      </c>
      <c r="AG49">
        <v>575.47399999999993</v>
      </c>
    </row>
    <row r="50" spans="1:38" x14ac:dyDescent="0.45">
      <c r="A50" t="s">
        <v>70</v>
      </c>
      <c r="C50">
        <v>14089</v>
      </c>
      <c r="D50">
        <v>13725</v>
      </c>
      <c r="E50">
        <v>13300</v>
      </c>
      <c r="F50">
        <v>12813</v>
      </c>
      <c r="G50">
        <v>12262</v>
      </c>
      <c r="H50">
        <v>11652</v>
      </c>
      <c r="I50">
        <v>10991</v>
      </c>
      <c r="J50">
        <v>10287</v>
      </c>
      <c r="K50">
        <v>9554</v>
      </c>
      <c r="L50">
        <v>8804</v>
      </c>
      <c r="M50">
        <v>7746</v>
      </c>
      <c r="N50">
        <v>6378</v>
      </c>
      <c r="O50">
        <v>5105</v>
      </c>
      <c r="P50">
        <v>3990</v>
      </c>
      <c r="Q50">
        <v>3060</v>
      </c>
      <c r="R50">
        <v>2310</v>
      </c>
      <c r="S50">
        <v>1724</v>
      </c>
      <c r="T50">
        <v>1275</v>
      </c>
      <c r="U50">
        <v>936</v>
      </c>
      <c r="V50">
        <v>684</v>
      </c>
      <c r="W50">
        <v>498</v>
      </c>
      <c r="X50">
        <v>362</v>
      </c>
      <c r="Y50">
        <v>263</v>
      </c>
      <c r="Z50">
        <v>191</v>
      </c>
      <c r="AA50">
        <v>139</v>
      </c>
    </row>
    <row r="51" spans="1:38" x14ac:dyDescent="0.45">
      <c r="A51" t="s">
        <v>71</v>
      </c>
      <c r="C51">
        <v>15668</v>
      </c>
      <c r="D51">
        <v>15155</v>
      </c>
      <c r="E51">
        <v>14547</v>
      </c>
      <c r="F51">
        <v>13849</v>
      </c>
      <c r="G51">
        <v>13072</v>
      </c>
      <c r="H51">
        <v>12230</v>
      </c>
      <c r="I51">
        <v>11343</v>
      </c>
      <c r="J51">
        <v>10428</v>
      </c>
      <c r="K51">
        <v>9506</v>
      </c>
      <c r="L51">
        <v>8595</v>
      </c>
      <c r="M51">
        <v>7712</v>
      </c>
      <c r="N51">
        <v>6867</v>
      </c>
      <c r="O51">
        <v>6002</v>
      </c>
      <c r="P51">
        <v>5207</v>
      </c>
      <c r="Q51">
        <v>4488</v>
      </c>
      <c r="R51">
        <v>3846</v>
      </c>
      <c r="S51">
        <v>3281</v>
      </c>
      <c r="T51">
        <v>2790</v>
      </c>
      <c r="U51">
        <v>2366</v>
      </c>
      <c r="V51">
        <v>2004</v>
      </c>
      <c r="W51">
        <v>1697</v>
      </c>
      <c r="X51">
        <v>1440</v>
      </c>
      <c r="Y51">
        <v>1224</v>
      </c>
      <c r="Z51">
        <v>1046</v>
      </c>
      <c r="AA51">
        <v>898</v>
      </c>
      <c r="AB51">
        <v>776</v>
      </c>
      <c r="AC51">
        <v>676</v>
      </c>
      <c r="AD51">
        <v>590</v>
      </c>
      <c r="AE51">
        <v>514</v>
      </c>
      <c r="AF51">
        <v>448</v>
      </c>
      <c r="AG51">
        <v>389</v>
      </c>
      <c r="AH51">
        <v>339</v>
      </c>
      <c r="AI51">
        <v>294</v>
      </c>
      <c r="AJ51">
        <v>256</v>
      </c>
      <c r="AK51">
        <v>222</v>
      </c>
      <c r="AL51">
        <v>193</v>
      </c>
    </row>
    <row r="53" spans="1:38" x14ac:dyDescent="0.45">
      <c r="A53" s="1" t="s">
        <v>73</v>
      </c>
    </row>
    <row r="54" spans="1:38" x14ac:dyDescent="0.45">
      <c r="A54" t="s">
        <v>64</v>
      </c>
      <c r="C54">
        <f t="shared" ref="C54:AF54" si="7">C48/C9</f>
        <v>1</v>
      </c>
      <c r="D54">
        <f t="shared" si="7"/>
        <v>0.997</v>
      </c>
      <c r="E54">
        <f t="shared" si="7"/>
        <v>0.99399999999999999</v>
      </c>
      <c r="F54">
        <f t="shared" si="7"/>
        <v>0.99099999999999999</v>
      </c>
      <c r="G54">
        <f t="shared" si="7"/>
        <v>0.98399999999999999</v>
      </c>
      <c r="H54">
        <f t="shared" si="7"/>
        <v>0.97399999999999998</v>
      </c>
      <c r="I54">
        <f t="shared" si="7"/>
        <v>0.96099999999999997</v>
      </c>
      <c r="J54">
        <f t="shared" si="7"/>
        <v>0.94199999999999995</v>
      </c>
      <c r="K54">
        <f t="shared" si="7"/>
        <v>0.92</v>
      </c>
      <c r="L54">
        <f t="shared" si="7"/>
        <v>0.89300000000000002</v>
      </c>
      <c r="M54">
        <f t="shared" si="7"/>
        <v>0.86199999999999999</v>
      </c>
      <c r="N54">
        <f t="shared" si="7"/>
        <v>0.82599999999999996</v>
      </c>
      <c r="O54">
        <f t="shared" si="7"/>
        <v>0.78800000000000003</v>
      </c>
      <c r="P54">
        <f t="shared" si="7"/>
        <v>0.71799999999999997</v>
      </c>
      <c r="Q54">
        <f t="shared" si="7"/>
        <v>0.61299999999999999</v>
      </c>
      <c r="R54">
        <f t="shared" si="7"/>
        <v>0.51</v>
      </c>
      <c r="S54">
        <f t="shared" si="7"/>
        <v>0.41499999999999998</v>
      </c>
      <c r="T54">
        <f t="shared" si="7"/>
        <v>0.33200000000000002</v>
      </c>
      <c r="U54">
        <f t="shared" si="7"/>
        <v>0.26100000000000001</v>
      </c>
      <c r="V54">
        <f t="shared" si="7"/>
        <v>0.20300000000000001</v>
      </c>
      <c r="W54">
        <f t="shared" si="7"/>
        <v>0.15700000000000003</v>
      </c>
      <c r="X54">
        <f t="shared" si="7"/>
        <v>0.12000000000000001</v>
      </c>
      <c r="Y54">
        <f t="shared" si="7"/>
        <v>9.1999999999999985E-2</v>
      </c>
      <c r="Z54">
        <f t="shared" si="7"/>
        <v>7.0000000000000007E-2</v>
      </c>
      <c r="AA54">
        <f t="shared" si="7"/>
        <v>5.2999999999999999E-2</v>
      </c>
      <c r="AB54">
        <f t="shared" si="7"/>
        <v>0.04</v>
      </c>
      <c r="AC54">
        <f t="shared" si="7"/>
        <v>0.03</v>
      </c>
      <c r="AD54">
        <f t="shared" si="7"/>
        <v>2.3E-2</v>
      </c>
      <c r="AE54">
        <f t="shared" si="7"/>
        <v>1.2999999999999999E-2</v>
      </c>
      <c r="AF54">
        <f t="shared" si="7"/>
        <v>0.01</v>
      </c>
    </row>
    <row r="55" spans="1:38" x14ac:dyDescent="0.45">
      <c r="A55" t="s">
        <v>65</v>
      </c>
      <c r="C55">
        <f t="shared" ref="C55:AF55" si="8">C49/C10</f>
        <v>1</v>
      </c>
      <c r="D55">
        <f t="shared" si="8"/>
        <v>0.99099999999999999</v>
      </c>
      <c r="E55">
        <f t="shared" si="8"/>
        <v>0.98199999999999998</v>
      </c>
      <c r="F55">
        <f t="shared" si="8"/>
        <v>0.97299999999999998</v>
      </c>
      <c r="G55">
        <f t="shared" si="8"/>
        <v>0.96</v>
      </c>
      <c r="H55">
        <f t="shared" si="8"/>
        <v>0.94099999999999995</v>
      </c>
      <c r="I55">
        <f t="shared" si="8"/>
        <v>0.91900000000000004</v>
      </c>
      <c r="J55">
        <f t="shared" si="8"/>
        <v>0.89100000000000001</v>
      </c>
      <c r="K55">
        <f t="shared" si="8"/>
        <v>0.85899999999999999</v>
      </c>
      <c r="L55">
        <f t="shared" si="8"/>
        <v>0.82299999999999995</v>
      </c>
      <c r="M55">
        <f t="shared" si="8"/>
        <v>0.78399999999999992</v>
      </c>
      <c r="N55">
        <f t="shared" si="8"/>
        <v>0.74099999999999999</v>
      </c>
      <c r="O55">
        <f t="shared" si="8"/>
        <v>0.69699999999999995</v>
      </c>
      <c r="P55">
        <f t="shared" si="8"/>
        <v>0.65100000000000002</v>
      </c>
      <c r="Q55">
        <f t="shared" si="8"/>
        <v>0.60499999999999998</v>
      </c>
      <c r="R55">
        <f t="shared" si="8"/>
        <v>0.55300000000000005</v>
      </c>
      <c r="S55">
        <f t="shared" si="8"/>
        <v>0.502</v>
      </c>
      <c r="T55">
        <f t="shared" si="8"/>
        <v>0.45300000000000001</v>
      </c>
      <c r="U55">
        <f t="shared" si="8"/>
        <v>0.40699999999999992</v>
      </c>
      <c r="V55">
        <f t="shared" si="8"/>
        <v>0.36399999999999999</v>
      </c>
      <c r="W55">
        <f t="shared" si="8"/>
        <v>0.32400000000000001</v>
      </c>
      <c r="X55">
        <f t="shared" si="8"/>
        <v>0.28799999999999998</v>
      </c>
      <c r="Y55">
        <f t="shared" si="8"/>
        <v>0.255</v>
      </c>
      <c r="Z55">
        <f t="shared" si="8"/>
        <v>0.22500000000000001</v>
      </c>
      <c r="AA55">
        <f t="shared" si="8"/>
        <v>0.19799999999999998</v>
      </c>
      <c r="AB55">
        <f t="shared" si="8"/>
        <v>0.17399999999999999</v>
      </c>
      <c r="AC55">
        <f t="shared" si="8"/>
        <v>0.153</v>
      </c>
      <c r="AD55">
        <f t="shared" si="8"/>
        <v>0.13300000000000001</v>
      </c>
      <c r="AE55">
        <f t="shared" si="8"/>
        <v>0.11700000000000001</v>
      </c>
      <c r="AF55">
        <f t="shared" si="8"/>
        <v>0.10199999999999999</v>
      </c>
      <c r="AG55">
        <f>AG49/AG10</f>
        <v>8.8999999999999996E-2</v>
      </c>
    </row>
    <row r="56" spans="1:38" x14ac:dyDescent="0.45">
      <c r="A56" t="s">
        <v>66</v>
      </c>
      <c r="C56">
        <f t="shared" ref="C56:AA56" si="9">C50/C11</f>
        <v>0.99002178343053893</v>
      </c>
      <c r="D56">
        <f t="shared" si="9"/>
        <v>0.98309576677888399</v>
      </c>
      <c r="E56">
        <f t="shared" si="9"/>
        <v>0.97300460896920038</v>
      </c>
      <c r="F56">
        <f t="shared" si="9"/>
        <v>0.95927229168226402</v>
      </c>
      <c r="G56">
        <f t="shared" si="9"/>
        <v>0.94120356155971752</v>
      </c>
      <c r="H56">
        <f t="shared" si="9"/>
        <v>0.91871008436489787</v>
      </c>
      <c r="I56">
        <f t="shared" si="9"/>
        <v>0.8917647058823529</v>
      </c>
      <c r="J56">
        <f t="shared" si="9"/>
        <v>0.86040481766477084</v>
      </c>
      <c r="K56">
        <f t="shared" si="9"/>
        <v>0.82518569701157363</v>
      </c>
      <c r="L56">
        <f t="shared" si="9"/>
        <v>0.78656303046546949</v>
      </c>
      <c r="M56">
        <f t="shared" si="9"/>
        <v>0.71695668271010737</v>
      </c>
      <c r="N56">
        <f t="shared" si="9"/>
        <v>0.61250360126764625</v>
      </c>
      <c r="O56">
        <f t="shared" si="9"/>
        <v>0.50937936539612849</v>
      </c>
      <c r="P56">
        <f t="shared" si="9"/>
        <v>0.41420118343195267</v>
      </c>
      <c r="Q56">
        <f t="shared" si="9"/>
        <v>0.33084657800843337</v>
      </c>
      <c r="R56">
        <f t="shared" si="9"/>
        <v>0.26039905309435241</v>
      </c>
      <c r="S56">
        <f t="shared" si="9"/>
        <v>0.20277581745471654</v>
      </c>
      <c r="T56">
        <f t="shared" si="9"/>
        <v>0.15655697445972494</v>
      </c>
      <c r="U56">
        <f t="shared" si="9"/>
        <v>0.1200153865880241</v>
      </c>
      <c r="V56">
        <f t="shared" si="9"/>
        <v>9.1578524568215289E-2</v>
      </c>
      <c r="W56">
        <f t="shared" si="9"/>
        <v>6.9582227190163479E-2</v>
      </c>
      <c r="X56">
        <f t="shared" si="9"/>
        <v>5.2723565394698517E-2</v>
      </c>
      <c r="Y56">
        <f t="shared" si="9"/>
        <v>3.9872650090964218E-2</v>
      </c>
      <c r="Z56">
        <f t="shared" si="9"/>
        <v>3.0078740157480317E-2</v>
      </c>
      <c r="AA56">
        <f t="shared" si="9"/>
        <v>2.2671668569564509E-2</v>
      </c>
    </row>
    <row r="57" spans="1:38" x14ac:dyDescent="0.45">
      <c r="A57" t="s">
        <v>67</v>
      </c>
      <c r="C57">
        <f t="shared" ref="C57:AA57" si="10">C51/C12</f>
        <v>0.97407522536524715</v>
      </c>
      <c r="D57">
        <f t="shared" si="10"/>
        <v>0.96027119503231528</v>
      </c>
      <c r="E57">
        <f t="shared" si="10"/>
        <v>0.94204118637482193</v>
      </c>
      <c r="F57">
        <f t="shared" si="10"/>
        <v>0.91903908686707814</v>
      </c>
      <c r="G57">
        <f t="shared" si="10"/>
        <v>0.89125247153473786</v>
      </c>
      <c r="H57">
        <f t="shared" si="10"/>
        <v>0.85890863122410277</v>
      </c>
      <c r="I57">
        <f t="shared" si="10"/>
        <v>0.82255257432922413</v>
      </c>
      <c r="J57">
        <f t="shared" si="10"/>
        <v>0.7827065976131502</v>
      </c>
      <c r="K57">
        <f t="shared" si="10"/>
        <v>0.74011211460604176</v>
      </c>
      <c r="L57">
        <f t="shared" si="10"/>
        <v>0.69561346714146977</v>
      </c>
      <c r="M57">
        <f t="shared" si="10"/>
        <v>0.65008851049481586</v>
      </c>
      <c r="N57">
        <f t="shared" si="10"/>
        <v>0.6040109068519659</v>
      </c>
      <c r="O57">
        <f t="shared" si="10"/>
        <v>0.55170511995587834</v>
      </c>
      <c r="P57">
        <f t="shared" si="10"/>
        <v>0.50086571758368603</v>
      </c>
      <c r="Q57">
        <f t="shared" si="10"/>
        <v>0.45223700120918986</v>
      </c>
      <c r="R57">
        <f t="shared" si="10"/>
        <v>0.40621039290240812</v>
      </c>
      <c r="S57">
        <f t="shared" si="10"/>
        <v>0.36326395039858284</v>
      </c>
      <c r="T57">
        <f t="shared" si="10"/>
        <v>0.32370344587539157</v>
      </c>
      <c r="U57">
        <f t="shared" si="10"/>
        <v>0.28734515423852319</v>
      </c>
      <c r="V57">
        <f t="shared" si="10"/>
        <v>0.25428245146555006</v>
      </c>
      <c r="W57">
        <f t="shared" si="10"/>
        <v>0.22432253800396562</v>
      </c>
      <c r="X57">
        <f t="shared" si="10"/>
        <v>0.19758507135016465</v>
      </c>
      <c r="Y57">
        <f t="shared" si="10"/>
        <v>0.17349397590361446</v>
      </c>
      <c r="Z57">
        <f t="shared" si="10"/>
        <v>0.15223402707029546</v>
      </c>
      <c r="AA57">
        <f t="shared" si="10"/>
        <v>0.13325419201661967</v>
      </c>
      <c r="AB57">
        <f t="shared" ref="AB57:AL57" si="11">AB51/AB12</f>
        <v>0.1164640552303767</v>
      </c>
      <c r="AC57">
        <f t="shared" si="11"/>
        <v>0.10168471720818291</v>
      </c>
      <c r="AD57">
        <f t="shared" si="11"/>
        <v>8.8748495788206982E-2</v>
      </c>
      <c r="AE57">
        <f t="shared" si="11"/>
        <v>7.7316486161251502E-2</v>
      </c>
      <c r="AF57">
        <f t="shared" si="11"/>
        <v>6.7388688327316482E-2</v>
      </c>
      <c r="AG57">
        <f t="shared" si="11"/>
        <v>5.8513838748495785E-2</v>
      </c>
      <c r="AH57">
        <f t="shared" si="11"/>
        <v>5.0992779783393505E-2</v>
      </c>
      <c r="AI57">
        <f t="shared" si="11"/>
        <v>4.4223826714801441E-2</v>
      </c>
      <c r="AJ57">
        <f t="shared" si="11"/>
        <v>3.8507821901323708E-2</v>
      </c>
      <c r="AK57">
        <f t="shared" si="11"/>
        <v>3.3393501805054154E-2</v>
      </c>
      <c r="AL57">
        <f t="shared" si="11"/>
        <v>2.9031287605294824E-2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44"/>
  <sheetViews>
    <sheetView workbookViewId="0">
      <selection activeCell="J8" sqref="J8"/>
    </sheetView>
  </sheetViews>
  <sheetFormatPr defaultRowHeight="14.25" x14ac:dyDescent="0.45"/>
  <cols>
    <col min="8" max="8" width="30.86328125" customWidth="1"/>
  </cols>
  <sheetData>
    <row r="1" spans="1:34" x14ac:dyDescent="0.45">
      <c r="A1" s="20" t="s">
        <v>155</v>
      </c>
      <c r="B1" s="21"/>
      <c r="C1" s="21"/>
      <c r="D1" s="21"/>
      <c r="E1" s="21"/>
      <c r="F1" s="21"/>
    </row>
    <row r="3" spans="1:34" x14ac:dyDescent="0.45">
      <c r="B3" s="137" t="s">
        <v>158</v>
      </c>
      <c r="C3" s="137"/>
      <c r="D3" s="137"/>
      <c r="E3" s="137"/>
      <c r="F3" s="137"/>
      <c r="G3" s="137"/>
      <c r="H3" s="137"/>
      <c r="J3" s="138" t="s">
        <v>159</v>
      </c>
      <c r="K3" s="138"/>
      <c r="L3" s="138"/>
      <c r="M3" s="138"/>
      <c r="N3" s="138"/>
      <c r="O3" s="138"/>
      <c r="P3" s="138"/>
      <c r="Q3" s="33"/>
      <c r="R3" s="33"/>
      <c r="T3" s="139" t="s">
        <v>157</v>
      </c>
      <c r="U3" s="139"/>
      <c r="V3" s="139"/>
      <c r="W3" s="139"/>
      <c r="X3" s="139"/>
      <c r="Y3" s="139"/>
      <c r="Z3" s="139"/>
      <c r="AA3" s="139"/>
      <c r="AB3" s="139"/>
      <c r="AC3" s="139"/>
      <c r="AD3" s="139"/>
      <c r="AE3" s="139"/>
      <c r="AF3" s="139"/>
      <c r="AG3" s="139"/>
      <c r="AH3" s="139"/>
    </row>
    <row r="5" spans="1:34" x14ac:dyDescent="0.45">
      <c r="B5" s="1" t="s">
        <v>47</v>
      </c>
      <c r="D5" s="1" t="s">
        <v>50</v>
      </c>
      <c r="F5" s="1" t="s">
        <v>198</v>
      </c>
      <c r="H5" s="1" t="s">
        <v>349</v>
      </c>
      <c r="J5" s="1" t="s">
        <v>62</v>
      </c>
      <c r="L5" s="1" t="s">
        <v>6</v>
      </c>
      <c r="N5" s="1" t="s">
        <v>5</v>
      </c>
      <c r="O5" s="1"/>
      <c r="P5" s="1" t="s">
        <v>154</v>
      </c>
      <c r="Q5" s="1"/>
      <c r="R5" s="1" t="s">
        <v>25</v>
      </c>
      <c r="T5" s="1" t="s">
        <v>55</v>
      </c>
      <c r="U5" s="1"/>
      <c r="V5" s="1" t="s">
        <v>199</v>
      </c>
      <c r="X5" s="1" t="s">
        <v>140</v>
      </c>
      <c r="Z5" s="1" t="s">
        <v>143</v>
      </c>
      <c r="AB5" s="1" t="s">
        <v>156</v>
      </c>
      <c r="AD5" s="1" t="s">
        <v>150</v>
      </c>
      <c r="AF5" s="1" t="s">
        <v>170</v>
      </c>
      <c r="AH5" s="1" t="s">
        <v>179</v>
      </c>
    </row>
    <row r="6" spans="1:34" x14ac:dyDescent="0.45">
      <c r="B6" t="s">
        <v>42</v>
      </c>
      <c r="D6" t="s">
        <v>182</v>
      </c>
      <c r="F6" t="str">
        <f>INDEX($B$6:$B$11,F12)</f>
        <v>BEV</v>
      </c>
      <c r="H6" t="s">
        <v>330</v>
      </c>
      <c r="J6" t="s">
        <v>530</v>
      </c>
      <c r="L6" t="str">
        <f>VMT!A8</f>
        <v>Constant VMT - 12000</v>
      </c>
      <c r="N6" t="s">
        <v>356</v>
      </c>
      <c r="P6" t="s">
        <v>257</v>
      </c>
      <c r="R6" t="s">
        <v>268</v>
      </c>
      <c r="T6" t="s">
        <v>57</v>
      </c>
      <c r="V6">
        <v>16</v>
      </c>
      <c r="X6" t="s">
        <v>142</v>
      </c>
      <c r="Z6" t="s">
        <v>144</v>
      </c>
      <c r="AB6" t="s">
        <v>148</v>
      </c>
      <c r="AD6">
        <v>2020</v>
      </c>
      <c r="AF6">
        <v>200</v>
      </c>
      <c r="AH6" t="s">
        <v>180</v>
      </c>
    </row>
    <row r="7" spans="1:34" x14ac:dyDescent="0.45">
      <c r="B7" t="s">
        <v>43</v>
      </c>
      <c r="D7" t="s">
        <v>183</v>
      </c>
      <c r="H7" t="s">
        <v>195</v>
      </c>
      <c r="J7" t="s">
        <v>63</v>
      </c>
      <c r="L7" t="s">
        <v>74</v>
      </c>
      <c r="N7" t="s">
        <v>357</v>
      </c>
      <c r="P7" t="s">
        <v>258</v>
      </c>
      <c r="R7" t="s">
        <v>274</v>
      </c>
      <c r="T7" t="s">
        <v>58</v>
      </c>
      <c r="X7" t="s">
        <v>147</v>
      </c>
      <c r="Z7" t="s">
        <v>145</v>
      </c>
      <c r="AB7" t="s">
        <v>149</v>
      </c>
      <c r="AD7">
        <v>2025</v>
      </c>
      <c r="AF7">
        <v>300</v>
      </c>
      <c r="AH7" t="s">
        <v>181</v>
      </c>
    </row>
    <row r="8" spans="1:34" x14ac:dyDescent="0.45">
      <c r="B8" t="s">
        <v>427</v>
      </c>
      <c r="D8" t="s">
        <v>48</v>
      </c>
      <c r="F8" s="1" t="s">
        <v>446</v>
      </c>
      <c r="H8" t="s">
        <v>350</v>
      </c>
      <c r="J8" t="s">
        <v>548</v>
      </c>
      <c r="L8" t="s">
        <v>75</v>
      </c>
      <c r="N8" t="s">
        <v>131</v>
      </c>
      <c r="P8" t="s">
        <v>259</v>
      </c>
      <c r="R8" t="s">
        <v>275</v>
      </c>
      <c r="T8" t="s">
        <v>56</v>
      </c>
      <c r="V8" s="1" t="s">
        <v>198</v>
      </c>
      <c r="X8" t="s">
        <v>540</v>
      </c>
      <c r="AD8">
        <v>2030</v>
      </c>
      <c r="AF8">
        <v>400</v>
      </c>
    </row>
    <row r="9" spans="1:34" x14ac:dyDescent="0.45">
      <c r="B9" t="s">
        <v>44</v>
      </c>
      <c r="D9" t="s">
        <v>49</v>
      </c>
      <c r="F9" t="str">
        <f>INDEX($D$6:$D$15,F15)</f>
        <v>Diesel</v>
      </c>
      <c r="H9" t="s">
        <v>351</v>
      </c>
      <c r="L9" t="s">
        <v>77</v>
      </c>
      <c r="N9" t="s">
        <v>264</v>
      </c>
      <c r="P9" t="s">
        <v>260</v>
      </c>
      <c r="R9" s="39" t="s">
        <v>276</v>
      </c>
      <c r="T9" t="s">
        <v>59</v>
      </c>
      <c r="V9" t="str">
        <f>INDEX($T$6:$T$22,V6)</f>
        <v>Class 8 Bus</v>
      </c>
      <c r="X9" t="s">
        <v>141</v>
      </c>
      <c r="AD9">
        <v>2035</v>
      </c>
    </row>
    <row r="10" spans="1:34" x14ac:dyDescent="0.45">
      <c r="B10" t="s">
        <v>45</v>
      </c>
      <c r="D10" t="s">
        <v>52</v>
      </c>
      <c r="L10" t="s">
        <v>76</v>
      </c>
      <c r="N10" t="s">
        <v>362</v>
      </c>
      <c r="R10" s="39" t="s">
        <v>277</v>
      </c>
      <c r="T10" t="s">
        <v>60</v>
      </c>
      <c r="AD10">
        <v>2050</v>
      </c>
    </row>
    <row r="11" spans="1:34" x14ac:dyDescent="0.45">
      <c r="B11" t="s">
        <v>46</v>
      </c>
      <c r="D11" t="s">
        <v>411</v>
      </c>
      <c r="F11" s="1" t="s">
        <v>353</v>
      </c>
      <c r="L11" t="s">
        <v>99</v>
      </c>
      <c r="N11" t="s">
        <v>363</v>
      </c>
      <c r="T11" t="s">
        <v>119</v>
      </c>
    </row>
    <row r="12" spans="1:34" x14ac:dyDescent="0.45">
      <c r="D12" t="s">
        <v>410</v>
      </c>
      <c r="F12">
        <v>6</v>
      </c>
      <c r="L12" t="s">
        <v>100</v>
      </c>
      <c r="T12" t="s">
        <v>120</v>
      </c>
    </row>
    <row r="13" spans="1:34" x14ac:dyDescent="0.45">
      <c r="D13" t="s">
        <v>412</v>
      </c>
      <c r="L13" t="s">
        <v>101</v>
      </c>
      <c r="T13" t="s">
        <v>121</v>
      </c>
    </row>
    <row r="14" spans="1:34" x14ac:dyDescent="0.45">
      <c r="D14" t="s">
        <v>51</v>
      </c>
      <c r="F14" s="1" t="s">
        <v>445</v>
      </c>
      <c r="L14" t="s">
        <v>102</v>
      </c>
      <c r="T14" t="s">
        <v>122</v>
      </c>
    </row>
    <row r="15" spans="1:34" x14ac:dyDescent="0.45">
      <c r="D15" t="s">
        <v>53</v>
      </c>
      <c r="F15">
        <v>3</v>
      </c>
      <c r="L15" t="s">
        <v>224</v>
      </c>
      <c r="T15" t="s">
        <v>123</v>
      </c>
    </row>
    <row r="16" spans="1:34" x14ac:dyDescent="0.45">
      <c r="L16" t="s">
        <v>225</v>
      </c>
      <c r="T16" t="s">
        <v>115</v>
      </c>
    </row>
    <row r="17" spans="2:20" x14ac:dyDescent="0.45">
      <c r="B17" s="1" t="s">
        <v>42</v>
      </c>
      <c r="C17" s="1" t="s">
        <v>43</v>
      </c>
      <c r="D17" s="1" t="s">
        <v>427</v>
      </c>
      <c r="E17" s="1" t="s">
        <v>44</v>
      </c>
      <c r="F17" s="1" t="s">
        <v>45</v>
      </c>
      <c r="G17" s="1" t="s">
        <v>46</v>
      </c>
      <c r="H17" s="1" t="s">
        <v>79</v>
      </c>
      <c r="L17" t="s">
        <v>226</v>
      </c>
      <c r="T17" t="s">
        <v>116</v>
      </c>
    </row>
    <row r="18" spans="2:20" x14ac:dyDescent="0.45">
      <c r="B18" t="s">
        <v>182</v>
      </c>
      <c r="C18" t="s">
        <v>48</v>
      </c>
      <c r="D18" t="s">
        <v>182</v>
      </c>
      <c r="E18" t="s">
        <v>411</v>
      </c>
      <c r="F18" t="s">
        <v>49</v>
      </c>
      <c r="G18" t="s">
        <v>52</v>
      </c>
      <c r="H18" t="str">
        <f ca="1">OFFSET(B18, 0, MATCH(Dashboard!$B$20,Lists!$B$6:$B$11,0)-1)</f>
        <v>Electric</v>
      </c>
      <c r="L18" t="s">
        <v>227</v>
      </c>
      <c r="T18" t="s">
        <v>117</v>
      </c>
    </row>
    <row r="19" spans="2:20" x14ac:dyDescent="0.45">
      <c r="B19" t="s">
        <v>183</v>
      </c>
      <c r="C19" t="s">
        <v>51</v>
      </c>
      <c r="D19" t="s">
        <v>183</v>
      </c>
      <c r="E19" t="s">
        <v>410</v>
      </c>
      <c r="F19" t="str">
        <f>""</f>
        <v/>
      </c>
      <c r="G19" t="str">
        <f>""</f>
        <v/>
      </c>
      <c r="H19" t="str">
        <f ca="1">OFFSET(B19, 0, MATCH(Dashboard!$B$20,Lists!$B$6:$B$11,0)-1)</f>
        <v/>
      </c>
      <c r="L19" t="str">
        <f>VMT!A21</f>
        <v>Constant VMT - 100000</v>
      </c>
      <c r="T19" t="s">
        <v>124</v>
      </c>
    </row>
    <row r="20" spans="2:20" x14ac:dyDescent="0.45">
      <c r="B20" t="s">
        <v>51</v>
      </c>
      <c r="C20" t="s">
        <v>53</v>
      </c>
      <c r="D20" t="s">
        <v>48</v>
      </c>
      <c r="E20" t="s">
        <v>412</v>
      </c>
      <c r="F20" t="str">
        <f>""</f>
        <v/>
      </c>
      <c r="G20" t="str">
        <f>""</f>
        <v/>
      </c>
      <c r="H20" t="str">
        <f ca="1">OFFSET(B20, 0, MATCH(Dashboard!$B$20,Lists!$B$6:$B$11,0)-1)</f>
        <v/>
      </c>
      <c r="L20" t="s">
        <v>106</v>
      </c>
      <c r="T20" t="s">
        <v>125</v>
      </c>
    </row>
    <row r="21" spans="2:20" x14ac:dyDescent="0.45">
      <c r="B21" t="s">
        <v>53</v>
      </c>
      <c r="C21" t="str">
        <f>""</f>
        <v/>
      </c>
      <c r="D21" t="s">
        <v>51</v>
      </c>
      <c r="E21" t="str">
        <f>""</f>
        <v/>
      </c>
      <c r="F21" t="str">
        <f>""</f>
        <v/>
      </c>
      <c r="G21" t="str">
        <f>""</f>
        <v/>
      </c>
      <c r="H21" t="str">
        <f ca="1">OFFSET(B21, 0, MATCH(Dashboard!$B$20,Lists!$B$6:$B$11,0)-1)</f>
        <v/>
      </c>
      <c r="L21" t="s">
        <v>103</v>
      </c>
      <c r="T21" t="s">
        <v>118</v>
      </c>
    </row>
    <row r="22" spans="2:20" x14ac:dyDescent="0.45">
      <c r="B22" t="str">
        <f>""</f>
        <v/>
      </c>
      <c r="C22" t="str">
        <f>""</f>
        <v/>
      </c>
      <c r="D22" t="s">
        <v>53</v>
      </c>
      <c r="E22" t="str">
        <f>""</f>
        <v/>
      </c>
      <c r="F22" t="str">
        <f>""</f>
        <v/>
      </c>
      <c r="G22" t="str">
        <f>""</f>
        <v/>
      </c>
      <c r="H22" t="str">
        <f ca="1">OFFSET(B22, 0, MATCH(Dashboard!$B$20,Lists!$B$6:$B$11,0)-1)</f>
        <v/>
      </c>
      <c r="L22" t="s">
        <v>104</v>
      </c>
      <c r="T22" t="s">
        <v>138</v>
      </c>
    </row>
    <row r="23" spans="2:20" x14ac:dyDescent="0.45">
      <c r="L23" t="s">
        <v>105</v>
      </c>
    </row>
    <row r="24" spans="2:20" x14ac:dyDescent="0.45">
      <c r="L24" t="s">
        <v>92</v>
      </c>
    </row>
    <row r="25" spans="2:20" x14ac:dyDescent="0.45">
      <c r="L25" t="s">
        <v>93</v>
      </c>
    </row>
    <row r="26" spans="2:20" x14ac:dyDescent="0.45">
      <c r="L26" t="s">
        <v>94</v>
      </c>
    </row>
    <row r="27" spans="2:20" x14ac:dyDescent="0.45">
      <c r="L27" t="s">
        <v>95</v>
      </c>
    </row>
    <row r="28" spans="2:20" x14ac:dyDescent="0.45">
      <c r="L28" t="s">
        <v>91</v>
      </c>
    </row>
    <row r="29" spans="2:20" x14ac:dyDescent="0.45">
      <c r="L29" t="s">
        <v>107</v>
      </c>
    </row>
    <row r="30" spans="2:20" x14ac:dyDescent="0.45">
      <c r="L30" t="s">
        <v>108</v>
      </c>
    </row>
    <row r="31" spans="2:20" x14ac:dyDescent="0.45">
      <c r="L31" t="s">
        <v>109</v>
      </c>
    </row>
    <row r="32" spans="2:20" x14ac:dyDescent="0.45">
      <c r="L32" t="s">
        <v>110</v>
      </c>
    </row>
    <row r="33" spans="12:12" x14ac:dyDescent="0.45">
      <c r="L33" t="s">
        <v>111</v>
      </c>
    </row>
    <row r="34" spans="12:12" x14ac:dyDescent="0.45">
      <c r="L34" t="s">
        <v>112</v>
      </c>
    </row>
    <row r="35" spans="12:12" x14ac:dyDescent="0.45">
      <c r="L35" t="s">
        <v>310</v>
      </c>
    </row>
    <row r="36" spans="12:12" x14ac:dyDescent="0.45">
      <c r="L36" t="s">
        <v>311</v>
      </c>
    </row>
    <row r="37" spans="12:12" x14ac:dyDescent="0.45">
      <c r="L37" t="s">
        <v>312</v>
      </c>
    </row>
    <row r="38" spans="12:12" x14ac:dyDescent="0.45">
      <c r="L38" t="s">
        <v>313</v>
      </c>
    </row>
    <row r="39" spans="12:12" x14ac:dyDescent="0.45">
      <c r="L39" t="s">
        <v>314</v>
      </c>
    </row>
    <row r="40" spans="12:12" x14ac:dyDescent="0.45">
      <c r="L40" t="s">
        <v>315</v>
      </c>
    </row>
    <row r="41" spans="12:12" x14ac:dyDescent="0.45">
      <c r="L41" t="s">
        <v>316</v>
      </c>
    </row>
    <row r="42" spans="12:12" x14ac:dyDescent="0.45">
      <c r="L42" t="s">
        <v>317</v>
      </c>
    </row>
    <row r="43" spans="12:12" x14ac:dyDescent="0.45">
      <c r="L43" t="s">
        <v>318</v>
      </c>
    </row>
    <row r="44" spans="12:12" x14ac:dyDescent="0.45">
      <c r="L44" t="s">
        <v>319</v>
      </c>
    </row>
  </sheetData>
  <mergeCells count="3">
    <mergeCell ref="B3:H3"/>
    <mergeCell ref="J3:P3"/>
    <mergeCell ref="T3:A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0"/>
  <sheetViews>
    <sheetView workbookViewId="0">
      <selection activeCell="A6" sqref="A6"/>
    </sheetView>
  </sheetViews>
  <sheetFormatPr defaultRowHeight="14.25" x14ac:dyDescent="0.45"/>
  <cols>
    <col min="1" max="1" width="2.59765625" customWidth="1"/>
    <col min="2" max="2" width="39.1328125" bestFit="1" customWidth="1"/>
    <col min="3" max="3" width="35.265625" customWidth="1"/>
    <col min="4" max="4" width="16.265625" customWidth="1"/>
    <col min="5" max="5" width="12.1328125" customWidth="1"/>
    <col min="6" max="6" width="10.86328125" customWidth="1"/>
    <col min="7" max="7" width="11.59765625" bestFit="1" customWidth="1"/>
  </cols>
  <sheetData>
    <row r="2" spans="2:4" ht="18.399999999999999" thickBot="1" x14ac:dyDescent="0.6">
      <c r="B2" s="123" t="s">
        <v>394</v>
      </c>
    </row>
    <row r="3" spans="2:4" ht="14.65" thickTop="1" x14ac:dyDescent="0.45">
      <c r="B3" s="124" t="s">
        <v>528</v>
      </c>
      <c r="C3" s="125" t="s">
        <v>367</v>
      </c>
      <c r="D3" s="126" t="s">
        <v>368</v>
      </c>
    </row>
    <row r="4" spans="2:4" x14ac:dyDescent="0.45">
      <c r="B4" s="92" t="s">
        <v>39</v>
      </c>
      <c r="C4" s="127">
        <f ca="1">Dashboard!AH46</f>
        <v>358472.63679710939</v>
      </c>
      <c r="D4" s="128">
        <f ca="1">Dashboard!AJ94</f>
        <v>0.74667605906716283</v>
      </c>
    </row>
    <row r="5" spans="2:4" x14ac:dyDescent="0.45">
      <c r="B5" s="92" t="s">
        <v>4</v>
      </c>
      <c r="C5" s="127">
        <f ca="1">Dashboard!AH47</f>
        <v>44423.644118193981</v>
      </c>
      <c r="D5" s="128">
        <f ca="1">Dashboard!AJ95</f>
        <v>9.2531669407026562E-2</v>
      </c>
    </row>
    <row r="6" spans="2:4" x14ac:dyDescent="0.45">
      <c r="B6" s="92" t="s">
        <v>54</v>
      </c>
      <c r="C6" s="127">
        <f ca="1">Dashboard!AH48</f>
        <v>74993.598553214921</v>
      </c>
      <c r="D6" s="128">
        <f ca="1">Dashboard!AJ96</f>
        <v>0.15620697056069116</v>
      </c>
    </row>
    <row r="7" spans="2:4" x14ac:dyDescent="0.45">
      <c r="B7" s="92" t="s">
        <v>25</v>
      </c>
      <c r="C7" s="127">
        <f ca="1">Dashboard!AH49</f>
        <v>283773.75864754181</v>
      </c>
      <c r="D7" s="128">
        <f ca="1">Dashboard!AJ97</f>
        <v>0.59108297265531018</v>
      </c>
    </row>
    <row r="8" spans="2:4" x14ac:dyDescent="0.45">
      <c r="B8" s="92" t="s">
        <v>41</v>
      </c>
      <c r="C8" s="127">
        <f ca="1">Dashboard!AH50</f>
        <v>105937.32620614902</v>
      </c>
      <c r="D8" s="128">
        <f ca="1">Dashboard!AJ98</f>
        <v>0.2206608179259435</v>
      </c>
    </row>
    <row r="9" spans="2:4" x14ac:dyDescent="0.45">
      <c r="B9" s="92" t="s">
        <v>23</v>
      </c>
      <c r="C9" s="127">
        <f ca="1">Dashboard!AH51</f>
        <v>296930.70698738238</v>
      </c>
      <c r="D9" s="128">
        <f ca="1">Dashboard!AJ99</f>
        <v>0.61848807231233827</v>
      </c>
    </row>
    <row r="10" spans="2:4" x14ac:dyDescent="0.45">
      <c r="B10" s="92" t="s">
        <v>40</v>
      </c>
      <c r="C10" s="127">
        <f ca="1">Dashboard!AH52</f>
        <v>0</v>
      </c>
      <c r="D10" s="128">
        <f ca="1">Dashboard!AJ100</f>
        <v>0</v>
      </c>
    </row>
    <row r="11" spans="2:4" x14ac:dyDescent="0.45">
      <c r="B11" s="92" t="s">
        <v>85</v>
      </c>
      <c r="C11" s="127">
        <f ca="1">Dashboard!AH53</f>
        <v>12353.242129211727</v>
      </c>
      <c r="D11" s="128">
        <f ca="1">Dashboard!AJ101</f>
        <v>2.5731029939009945E-2</v>
      </c>
    </row>
    <row r="12" spans="2:4" x14ac:dyDescent="0.45">
      <c r="B12" s="92" t="s">
        <v>87</v>
      </c>
      <c r="C12" s="127">
        <f ca="1">Dashboard!AH54</f>
        <v>961181.92618629115</v>
      </c>
      <c r="D12" s="128">
        <f ca="1">Dashboard!AJ102</f>
        <v>2.002081774229167</v>
      </c>
    </row>
    <row r="13" spans="2:4" ht="14.65" thickBot="1" x14ac:dyDescent="0.5">
      <c r="B13" s="93" t="s">
        <v>327</v>
      </c>
      <c r="C13" s="129">
        <f ca="1">SUM(C4:C12)</f>
        <v>2138066.8396250946</v>
      </c>
      <c r="D13" s="130">
        <f ca="1">SUM(D4:D12)</f>
        <v>4.4534593660966495</v>
      </c>
    </row>
    <row r="14" spans="2:4" ht="14.65" thickTop="1" x14ac:dyDescent="0.45"/>
    <row r="15" spans="2:4" ht="18.399999999999999" thickBot="1" x14ac:dyDescent="0.6">
      <c r="B15" s="123" t="s">
        <v>393</v>
      </c>
    </row>
    <row r="16" spans="2:4" ht="14.65" thickTop="1" x14ac:dyDescent="0.45">
      <c r="B16" s="79" t="s">
        <v>153</v>
      </c>
      <c r="C16" s="98" t="str">
        <f>Dashboard!B3</f>
        <v>Class 8 Bus</v>
      </c>
    </row>
    <row r="17" spans="2:3" x14ac:dyDescent="0.45">
      <c r="B17" s="80" t="s">
        <v>9</v>
      </c>
      <c r="C17" s="99" t="str">
        <f>Dashboard!B20</f>
        <v>BEV</v>
      </c>
    </row>
    <row r="18" spans="2:3" x14ac:dyDescent="0.45">
      <c r="B18" s="80" t="s">
        <v>54</v>
      </c>
      <c r="C18" s="81" t="str">
        <f>Dashboard!B27</f>
        <v>Diesel</v>
      </c>
    </row>
    <row r="19" spans="2:3" x14ac:dyDescent="0.45">
      <c r="B19" s="80" t="s">
        <v>132</v>
      </c>
      <c r="C19" s="81" t="str">
        <f>Dashboard!E3</f>
        <v>Autonomie simulations</v>
      </c>
    </row>
    <row r="20" spans="2:3" x14ac:dyDescent="0.45">
      <c r="B20" s="80" t="s">
        <v>98</v>
      </c>
      <c r="C20" s="81">
        <f>Dashboard!E7</f>
        <v>2020</v>
      </c>
    </row>
    <row r="21" spans="2:3" x14ac:dyDescent="0.45">
      <c r="B21" s="80" t="s">
        <v>152</v>
      </c>
      <c r="C21" s="81" t="str">
        <f>Dashboard!E11</f>
        <v>High</v>
      </c>
    </row>
    <row r="22" spans="2:3" x14ac:dyDescent="0.45">
      <c r="B22" s="80" t="s">
        <v>163</v>
      </c>
      <c r="C22" s="81">
        <f>Dashboard!E15</f>
        <v>200</v>
      </c>
    </row>
    <row r="23" spans="2:3" x14ac:dyDescent="0.45">
      <c r="B23" s="80" t="s">
        <v>184</v>
      </c>
      <c r="C23" s="81" t="str">
        <f>Dashboard!E19</f>
        <v>Long</v>
      </c>
    </row>
    <row r="24" spans="2:3" x14ac:dyDescent="0.45">
      <c r="B24" s="80" t="s">
        <v>423</v>
      </c>
      <c r="C24" s="81" t="b">
        <f>Dashboard!E23</f>
        <v>0</v>
      </c>
    </row>
    <row r="25" spans="2:3" x14ac:dyDescent="0.45">
      <c r="B25" s="80" t="s">
        <v>396</v>
      </c>
      <c r="C25" s="81">
        <f>Dashboard!H3</f>
        <v>0</v>
      </c>
    </row>
    <row r="26" spans="2:3" x14ac:dyDescent="0.45">
      <c r="B26" s="80" t="s">
        <v>397</v>
      </c>
      <c r="C26" s="81">
        <f>Dashboard!H4</f>
        <v>10</v>
      </c>
    </row>
    <row r="27" spans="2:3" x14ac:dyDescent="0.45">
      <c r="B27" s="80" t="s">
        <v>10</v>
      </c>
      <c r="C27" s="82">
        <f>Dashboard!H7</f>
        <v>4.9999999999999996E-2</v>
      </c>
    </row>
    <row r="28" spans="2:3" x14ac:dyDescent="0.45">
      <c r="B28" s="80" t="s">
        <v>5</v>
      </c>
      <c r="C28" s="81" t="str">
        <f>Dashboard!H11</f>
        <v>User-defined</v>
      </c>
    </row>
    <row r="29" spans="2:3" x14ac:dyDescent="0.45">
      <c r="B29" s="80" t="s">
        <v>154</v>
      </c>
      <c r="C29" s="81" t="str">
        <f>Dashboard!H15</f>
        <v>None</v>
      </c>
    </row>
    <row r="30" spans="2:3" x14ac:dyDescent="0.45">
      <c r="B30" s="83" t="s">
        <v>4</v>
      </c>
      <c r="C30" s="81" t="b">
        <f>Dashboard!H19</f>
        <v>1</v>
      </c>
    </row>
    <row r="31" spans="2:3" x14ac:dyDescent="0.45">
      <c r="B31" s="83" t="s">
        <v>395</v>
      </c>
      <c r="C31" s="81">
        <f>Dashboard!H23</f>
        <v>0.04</v>
      </c>
    </row>
    <row r="32" spans="2:3" x14ac:dyDescent="0.45">
      <c r="B32" s="80" t="s">
        <v>194</v>
      </c>
      <c r="C32" s="81" t="str">
        <f>Dashboard!H27</f>
        <v>Flat or incremental changes from first year</v>
      </c>
    </row>
    <row r="33" spans="2:3" x14ac:dyDescent="0.45">
      <c r="B33" s="80" t="s">
        <v>273</v>
      </c>
      <c r="C33" s="81" t="str">
        <f>Dashboard!H31</f>
        <v>Average</v>
      </c>
    </row>
    <row r="34" spans="2:3" x14ac:dyDescent="0.45">
      <c r="B34" s="80" t="s">
        <v>6</v>
      </c>
      <c r="C34" s="81" t="str">
        <f>Dashboard!K3</f>
        <v>Tractor - Day Cab</v>
      </c>
    </row>
    <row r="35" spans="2:3" x14ac:dyDescent="0.45">
      <c r="B35" s="80" t="s">
        <v>201</v>
      </c>
      <c r="C35" s="81" t="b">
        <f>Dashboard!K7</f>
        <v>1</v>
      </c>
    </row>
    <row r="36" spans="2:3" x14ac:dyDescent="0.45">
      <c r="B36" s="80" t="s">
        <v>460</v>
      </c>
      <c r="C36" s="81" t="b">
        <f>Dashboard!K11</f>
        <v>0</v>
      </c>
    </row>
    <row r="37" spans="2:3" x14ac:dyDescent="0.45">
      <c r="B37" s="80" t="s">
        <v>89</v>
      </c>
      <c r="C37" s="81" t="b">
        <f>Dashboard!K15</f>
        <v>1</v>
      </c>
    </row>
    <row r="38" spans="2:3" x14ac:dyDescent="0.45">
      <c r="B38" s="80" t="s">
        <v>458</v>
      </c>
      <c r="C38" s="81" t="b">
        <f>Dashboard!K19</f>
        <v>1</v>
      </c>
    </row>
    <row r="39" spans="2:3" x14ac:dyDescent="0.45">
      <c r="B39" s="80" t="s">
        <v>527</v>
      </c>
      <c r="C39" s="81" t="b">
        <f>Dashboard!K23</f>
        <v>0</v>
      </c>
    </row>
    <row r="40" spans="2:3" x14ac:dyDescent="0.45">
      <c r="B40" s="86" t="s">
        <v>223</v>
      </c>
      <c r="C40" s="87">
        <f>Vehicle!C14</f>
        <v>0</v>
      </c>
    </row>
    <row r="41" spans="2:3" x14ac:dyDescent="0.45">
      <c r="B41" s="80" t="s">
        <v>36</v>
      </c>
      <c r="C41" s="81">
        <f>Vehicle!A20</f>
        <v>5.25</v>
      </c>
    </row>
    <row r="42" spans="2:3" x14ac:dyDescent="0.45">
      <c r="B42" s="80" t="s">
        <v>34</v>
      </c>
      <c r="C42" s="84">
        <f>Vehicle!A23</f>
        <v>0.12</v>
      </c>
    </row>
    <row r="43" spans="2:3" x14ac:dyDescent="0.45">
      <c r="B43" s="80" t="s">
        <v>151</v>
      </c>
      <c r="C43" s="81">
        <f>Vehicle!G14</f>
        <v>1.5</v>
      </c>
    </row>
    <row r="44" spans="2:3" x14ac:dyDescent="0.45">
      <c r="B44" s="80" t="s">
        <v>197</v>
      </c>
      <c r="C44" s="81">
        <f>Vehicle!J14</f>
        <v>1</v>
      </c>
    </row>
    <row r="45" spans="2:3" x14ac:dyDescent="0.45">
      <c r="B45" s="88" t="s">
        <v>96</v>
      </c>
      <c r="C45" s="91">
        <f>Vehicle!Q14</f>
        <v>0</v>
      </c>
    </row>
    <row r="46" spans="2:3" x14ac:dyDescent="0.45">
      <c r="B46" s="86" t="s">
        <v>265</v>
      </c>
      <c r="C46" s="89">
        <f>ResidualValue!A20</f>
        <v>0.15</v>
      </c>
    </row>
    <row r="47" spans="2:3" x14ac:dyDescent="0.45">
      <c r="B47" s="80" t="s">
        <v>232</v>
      </c>
      <c r="C47" s="81">
        <f>ResidualValue!F20</f>
        <v>277.5</v>
      </c>
    </row>
    <row r="48" spans="2:3" x14ac:dyDescent="0.45">
      <c r="B48" s="88" t="s">
        <v>238</v>
      </c>
      <c r="C48" s="90">
        <f>ResidualValue!C23</f>
        <v>500</v>
      </c>
    </row>
    <row r="49" spans="2:3" x14ac:dyDescent="0.45">
      <c r="B49" s="86" t="s">
        <v>30</v>
      </c>
      <c r="C49" s="89">
        <f>'Fuel Prices'!C9</f>
        <v>0</v>
      </c>
    </row>
    <row r="50" spans="2:3" x14ac:dyDescent="0.45">
      <c r="B50" s="88" t="s">
        <v>340</v>
      </c>
      <c r="C50" s="90" t="b">
        <f>'Fuel Prices'!F9</f>
        <v>1</v>
      </c>
    </row>
    <row r="51" spans="2:3" x14ac:dyDescent="0.45">
      <c r="B51" s="86" t="s">
        <v>279</v>
      </c>
      <c r="C51" s="87">
        <f>Insurance!A23</f>
        <v>500</v>
      </c>
    </row>
    <row r="52" spans="2:3" x14ac:dyDescent="0.45">
      <c r="B52" s="80" t="s">
        <v>438</v>
      </c>
      <c r="C52" s="105">
        <f>Insurance!C23</f>
        <v>0.1</v>
      </c>
    </row>
    <row r="53" spans="2:3" x14ac:dyDescent="0.45">
      <c r="B53" s="80" t="s">
        <v>451</v>
      </c>
      <c r="C53" s="105" t="str">
        <f>Insurance!A34</f>
        <v>Variable (CTIHQ)</v>
      </c>
    </row>
    <row r="54" spans="2:3" x14ac:dyDescent="0.45">
      <c r="B54" s="80" t="s">
        <v>442</v>
      </c>
      <c r="C54" s="108">
        <f>Insurance!C34</f>
        <v>6.2E-2</v>
      </c>
    </row>
    <row r="55" spans="2:3" x14ac:dyDescent="0.45">
      <c r="B55" s="88" t="s">
        <v>441</v>
      </c>
      <c r="C55" s="107">
        <f>Insurance!F34</f>
        <v>2.5</v>
      </c>
    </row>
    <row r="56" spans="2:3" x14ac:dyDescent="0.45">
      <c r="B56" s="80" t="s">
        <v>83</v>
      </c>
      <c r="C56" s="81" t="str">
        <f>'Maintenance &amp; Repair'!L1</f>
        <v>Smoothed</v>
      </c>
    </row>
    <row r="57" spans="2:3" x14ac:dyDescent="0.45">
      <c r="B57" s="86" t="s">
        <v>399</v>
      </c>
      <c r="C57" s="110">
        <f>'Taxes &amp; Fees'!C19</f>
        <v>0.12</v>
      </c>
    </row>
    <row r="58" spans="2:3" x14ac:dyDescent="0.45">
      <c r="B58" s="104" t="s">
        <v>322</v>
      </c>
      <c r="C58" s="109">
        <f>'Taxes &amp; Fees'!C9</f>
        <v>8.4000000000000005E-2</v>
      </c>
    </row>
    <row r="59" spans="2:3" x14ac:dyDescent="0.45">
      <c r="B59" s="104" t="s">
        <v>424</v>
      </c>
      <c r="C59" s="111">
        <f>'Taxes &amp; Fees'!C23</f>
        <v>3.0539999999999998E-2</v>
      </c>
    </row>
    <row r="60" spans="2:3" x14ac:dyDescent="0.45">
      <c r="B60" s="88" t="s">
        <v>437</v>
      </c>
      <c r="C60" s="112">
        <f>'Taxes &amp; Fees'!C24</f>
        <v>2.4432000000000002E-2</v>
      </c>
    </row>
    <row r="61" spans="2:3" x14ac:dyDescent="0.45">
      <c r="B61" s="86" t="s">
        <v>470</v>
      </c>
      <c r="C61" s="121">
        <v>80000</v>
      </c>
    </row>
    <row r="62" spans="2:3" x14ac:dyDescent="0.45">
      <c r="B62" s="80" t="s">
        <v>450</v>
      </c>
      <c r="C62" s="81">
        <f>Operation!$E$11</f>
        <v>2000</v>
      </c>
    </row>
    <row r="63" spans="2:3" x14ac:dyDescent="0.45">
      <c r="B63" s="85" t="s">
        <v>462</v>
      </c>
      <c r="C63" s="120">
        <f>Operation!$A$21</f>
        <v>0.1048</v>
      </c>
    </row>
    <row r="64" spans="2:3" x14ac:dyDescent="0.45">
      <c r="B64" s="80" t="s">
        <v>448</v>
      </c>
      <c r="C64" s="81">
        <f>Operation!C26</f>
        <v>50</v>
      </c>
    </row>
    <row r="65" spans="2:3" x14ac:dyDescent="0.45">
      <c r="B65" s="80" t="s">
        <v>447</v>
      </c>
      <c r="C65" s="81">
        <f>Operation!$A$29</f>
        <v>30</v>
      </c>
    </row>
    <row r="66" spans="2:3" x14ac:dyDescent="0.45">
      <c r="B66" s="80" t="s">
        <v>398</v>
      </c>
      <c r="C66" s="81">
        <f>Operation!A33</f>
        <v>0.789968</v>
      </c>
    </row>
    <row r="67" spans="2:3" ht="14.65" thickBot="1" x14ac:dyDescent="0.5">
      <c r="B67" s="96" t="s">
        <v>222</v>
      </c>
      <c r="C67" s="113" t="b">
        <f>Operation!A37</f>
        <v>0</v>
      </c>
    </row>
    <row r="68" spans="2:3" ht="14.65" thickTop="1" x14ac:dyDescent="0.45">
      <c r="B68" s="94" t="s">
        <v>408</v>
      </c>
      <c r="C68" s="95" t="e">
        <f ca="1">MID(CELL("filename"),SEARCH("[",CELL("filename"))+1,SEARCH(".",CELL("filename"))-1-SEARCH("[",CELL("filename")))</f>
        <v>#VALUE!</v>
      </c>
    </row>
    <row r="69" spans="2:3" ht="14.65" thickBot="1" x14ac:dyDescent="0.5">
      <c r="B69" s="96" t="s">
        <v>409</v>
      </c>
      <c r="C69" s="97">
        <f ca="1">TODAY()</f>
        <v>45016</v>
      </c>
    </row>
    <row r="70" spans="2:3" ht="14.65" thickTop="1" x14ac:dyDescent="0.45"/>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22"/>
  <sheetViews>
    <sheetView zoomScale="85" zoomScaleNormal="85" workbookViewId="0">
      <selection activeCell="K26" sqref="K26:K28"/>
    </sheetView>
  </sheetViews>
  <sheetFormatPr defaultRowHeight="14.25" x14ac:dyDescent="0.45"/>
  <cols>
    <col min="2" max="2" width="14" customWidth="1"/>
    <col min="3" max="4" width="9.86328125" bestFit="1" customWidth="1"/>
    <col min="5" max="5" width="19.59765625" customWidth="1"/>
    <col min="6" max="6" width="8.86328125" customWidth="1"/>
    <col min="7" max="7" width="9.86328125" bestFit="1" customWidth="1"/>
    <col min="8" max="8" width="22.3984375" customWidth="1"/>
    <col min="9" max="10" width="9.86328125" bestFit="1" customWidth="1"/>
    <col min="11" max="11" width="22.59765625" customWidth="1"/>
    <col min="12" max="13" width="9.86328125" bestFit="1" customWidth="1"/>
    <col min="14" max="14" width="11.86328125" bestFit="1" customWidth="1"/>
    <col min="15" max="15" width="10.59765625" customWidth="1"/>
    <col min="16" max="16" width="11.59765625" bestFit="1" customWidth="1"/>
    <col min="17" max="23" width="9.86328125" bestFit="1" customWidth="1"/>
    <col min="24" max="32" width="8.86328125" bestFit="1" customWidth="1"/>
  </cols>
  <sheetData>
    <row r="1" spans="2:16" x14ac:dyDescent="0.45">
      <c r="B1" s="23" t="s">
        <v>8</v>
      </c>
      <c r="E1" s="23" t="s">
        <v>200</v>
      </c>
      <c r="H1" s="23" t="s">
        <v>3</v>
      </c>
      <c r="K1" s="23" t="s">
        <v>352</v>
      </c>
      <c r="M1" s="132"/>
      <c r="N1" s="132"/>
    </row>
    <row r="2" spans="2:16" x14ac:dyDescent="0.45">
      <c r="B2" s="1" t="s">
        <v>153</v>
      </c>
      <c r="E2" s="1" t="s">
        <v>132</v>
      </c>
      <c r="H2" s="1" t="s">
        <v>11</v>
      </c>
      <c r="K2" s="1" t="s">
        <v>6</v>
      </c>
      <c r="O2" s="1" t="s">
        <v>367</v>
      </c>
      <c r="P2" s="1" t="s">
        <v>368</v>
      </c>
    </row>
    <row r="3" spans="2:16" x14ac:dyDescent="0.45">
      <c r="B3" s="29" t="str">
        <f>Lists!$V$9</f>
        <v>Class 8 Bus</v>
      </c>
      <c r="E3" s="2" t="s">
        <v>142</v>
      </c>
      <c r="H3" s="2">
        <v>0</v>
      </c>
      <c r="I3" t="s">
        <v>243</v>
      </c>
      <c r="K3" s="2" t="s">
        <v>74</v>
      </c>
      <c r="N3" t="s">
        <v>39</v>
      </c>
      <c r="O3" s="47">
        <f ca="1">Dashboard!AH46</f>
        <v>358472.63679710939</v>
      </c>
      <c r="P3" s="62">
        <f ca="1">Dashboard!AJ94</f>
        <v>0.74667605906716283</v>
      </c>
    </row>
    <row r="4" spans="2:16" x14ac:dyDescent="0.45">
      <c r="B4">
        <f>Lists!$V$6</f>
        <v>16</v>
      </c>
      <c r="E4" t="s">
        <v>78</v>
      </c>
      <c r="H4" s="2">
        <v>15</v>
      </c>
      <c r="I4" t="s">
        <v>230</v>
      </c>
      <c r="K4" t="s">
        <v>78</v>
      </c>
      <c r="N4" t="s">
        <v>4</v>
      </c>
      <c r="O4" s="47">
        <f ca="1">Dashboard!AH47</f>
        <v>44423.644118193981</v>
      </c>
      <c r="P4" s="62">
        <f ca="1">Dashboard!AJ95</f>
        <v>9.2531669407026562E-2</v>
      </c>
    </row>
    <row r="5" spans="2:16" x14ac:dyDescent="0.45">
      <c r="N5" t="s">
        <v>54</v>
      </c>
      <c r="O5" s="47">
        <f ca="1">Dashboard!AH48</f>
        <v>74993.598553214921</v>
      </c>
      <c r="P5" s="62">
        <f ca="1">Dashboard!AJ96</f>
        <v>0.15620697056069116</v>
      </c>
    </row>
    <row r="6" spans="2:16" x14ac:dyDescent="0.45">
      <c r="E6" s="1" t="s">
        <v>98</v>
      </c>
      <c r="H6" s="1" t="s">
        <v>10</v>
      </c>
      <c r="K6" s="1" t="s">
        <v>201</v>
      </c>
      <c r="N6" t="s">
        <v>25</v>
      </c>
      <c r="O6" s="47">
        <f ca="1">Dashboard!AH49</f>
        <v>283773.75864754181</v>
      </c>
      <c r="P6" s="62">
        <f ca="1">Dashboard!AJ97</f>
        <v>0.59108297265531018</v>
      </c>
    </row>
    <row r="7" spans="2:16" x14ac:dyDescent="0.45">
      <c r="E7" s="2">
        <v>2020</v>
      </c>
      <c r="H7" s="3">
        <v>0</v>
      </c>
      <c r="K7" s="2" t="b">
        <v>0</v>
      </c>
      <c r="N7" t="s">
        <v>41</v>
      </c>
      <c r="O7" s="47">
        <f ca="1">Dashboard!AH50</f>
        <v>105937.32620614902</v>
      </c>
      <c r="P7" s="62">
        <f ca="1">Dashboard!AJ98</f>
        <v>0.2206608179259435</v>
      </c>
    </row>
    <row r="8" spans="2:16" x14ac:dyDescent="0.45">
      <c r="E8" t="s">
        <v>369</v>
      </c>
      <c r="H8" t="s">
        <v>361</v>
      </c>
      <c r="K8" t="s">
        <v>7</v>
      </c>
      <c r="N8" t="s">
        <v>23</v>
      </c>
      <c r="O8" s="47">
        <f ca="1">Dashboard!AH51</f>
        <v>296930.70698738238</v>
      </c>
      <c r="P8" s="62">
        <f ca="1">Dashboard!AJ99</f>
        <v>0.61848807231233827</v>
      </c>
    </row>
    <row r="9" spans="2:16" x14ac:dyDescent="0.45">
      <c r="N9" t="s">
        <v>40</v>
      </c>
      <c r="O9" s="47">
        <f ca="1">Dashboard!AH52</f>
        <v>0</v>
      </c>
      <c r="P9" s="62">
        <f ca="1">Dashboard!AJ100</f>
        <v>0</v>
      </c>
    </row>
    <row r="10" spans="2:16" x14ac:dyDescent="0.45">
      <c r="E10" s="1" t="s">
        <v>152</v>
      </c>
      <c r="H10" s="1" t="s">
        <v>5</v>
      </c>
      <c r="K10" s="1" t="s">
        <v>460</v>
      </c>
      <c r="N10" t="s">
        <v>85</v>
      </c>
      <c r="O10" s="47">
        <f ca="1">Dashboard!AH53</f>
        <v>12353.242129211727</v>
      </c>
      <c r="P10" s="62">
        <f ca="1">Dashboard!AJ101</f>
        <v>2.5731029939009945E-2</v>
      </c>
    </row>
    <row r="11" spans="2:16" x14ac:dyDescent="0.45">
      <c r="E11" s="2" t="s">
        <v>149</v>
      </c>
      <c r="H11" s="2" t="s">
        <v>357</v>
      </c>
      <c r="K11" s="2" t="b">
        <v>0</v>
      </c>
      <c r="N11" t="s">
        <v>87</v>
      </c>
      <c r="O11" s="47">
        <f ca="1">Dashboard!AH54</f>
        <v>961181.92618629115</v>
      </c>
      <c r="P11" s="62">
        <f ca="1">Dashboard!AJ102</f>
        <v>2.002081774229167</v>
      </c>
    </row>
    <row r="12" spans="2:16" x14ac:dyDescent="0.45">
      <c r="E12" t="s">
        <v>78</v>
      </c>
      <c r="H12" t="s">
        <v>78</v>
      </c>
      <c r="K12" t="s">
        <v>7</v>
      </c>
      <c r="N12" s="1" t="s">
        <v>327</v>
      </c>
      <c r="O12" s="61">
        <f ca="1">SUM(O3:O11)</f>
        <v>2138066.8396250946</v>
      </c>
      <c r="P12" s="60">
        <f ca="1">SUM(P3:P11)</f>
        <v>4.4534593660966495</v>
      </c>
    </row>
    <row r="14" spans="2:16" x14ac:dyDescent="0.45">
      <c r="E14" s="1" t="s">
        <v>163</v>
      </c>
      <c r="H14" s="1" t="s">
        <v>154</v>
      </c>
      <c r="K14" s="1" t="s">
        <v>89</v>
      </c>
    </row>
    <row r="15" spans="2:16" x14ac:dyDescent="0.45">
      <c r="E15" s="2">
        <v>200</v>
      </c>
      <c r="H15" s="3" t="s">
        <v>258</v>
      </c>
      <c r="K15" s="2" t="b">
        <v>0</v>
      </c>
    </row>
    <row r="16" spans="2:16" x14ac:dyDescent="0.45">
      <c r="E16" t="s">
        <v>78</v>
      </c>
      <c r="H16" t="s">
        <v>78</v>
      </c>
      <c r="K16" t="s">
        <v>7</v>
      </c>
    </row>
    <row r="18" spans="2:15" x14ac:dyDescent="0.45">
      <c r="E18" s="1" t="s">
        <v>184</v>
      </c>
      <c r="H18" s="1" t="s">
        <v>4</v>
      </c>
      <c r="K18" s="1" t="s">
        <v>458</v>
      </c>
    </row>
    <row r="19" spans="2:15" x14ac:dyDescent="0.45">
      <c r="B19" s="1" t="s">
        <v>9</v>
      </c>
      <c r="E19" s="2" t="s">
        <v>181</v>
      </c>
      <c r="H19" s="2" t="b">
        <v>1</v>
      </c>
      <c r="K19" s="2" t="b">
        <v>0</v>
      </c>
    </row>
    <row r="20" spans="2:15" x14ac:dyDescent="0.45">
      <c r="B20" s="2" t="str">
        <f>Lists!F6</f>
        <v>BEV</v>
      </c>
      <c r="E20" t="s">
        <v>78</v>
      </c>
      <c r="H20" t="s">
        <v>7</v>
      </c>
      <c r="K20" t="s">
        <v>7</v>
      </c>
    </row>
    <row r="21" spans="2:15" x14ac:dyDescent="0.45">
      <c r="B21" t="s">
        <v>78</v>
      </c>
    </row>
    <row r="22" spans="2:15" x14ac:dyDescent="0.45">
      <c r="H22" s="1" t="s">
        <v>395</v>
      </c>
      <c r="K22" s="1" t="s">
        <v>527</v>
      </c>
    </row>
    <row r="23" spans="2:15" x14ac:dyDescent="0.45">
      <c r="H23" s="3">
        <v>4.5999999999999999E-2</v>
      </c>
      <c r="K23" s="2" t="b">
        <v>0</v>
      </c>
    </row>
    <row r="24" spans="2:15" x14ac:dyDescent="0.45">
      <c r="H24" t="s">
        <v>261</v>
      </c>
      <c r="K24" t="s">
        <v>7</v>
      </c>
    </row>
    <row r="26" spans="2:15" x14ac:dyDescent="0.45">
      <c r="B26" s="1" t="s">
        <v>54</v>
      </c>
      <c r="H26" s="1" t="s">
        <v>194</v>
      </c>
    </row>
    <row r="27" spans="2:15" x14ac:dyDescent="0.45">
      <c r="B27" s="2" t="str">
        <f>Lists!F9</f>
        <v>Diesel</v>
      </c>
      <c r="H27" s="2" t="s">
        <v>330</v>
      </c>
    </row>
    <row r="28" spans="2:15" x14ac:dyDescent="0.45">
      <c r="B28" t="s">
        <v>78</v>
      </c>
      <c r="H28" t="s">
        <v>78</v>
      </c>
    </row>
    <row r="30" spans="2:15" x14ac:dyDescent="0.45">
      <c r="H30" s="1" t="s">
        <v>273</v>
      </c>
    </row>
    <row r="31" spans="2:15" x14ac:dyDescent="0.45">
      <c r="H31" s="2" t="s">
        <v>268</v>
      </c>
    </row>
    <row r="32" spans="2:15" x14ac:dyDescent="0.45">
      <c r="H32" t="s">
        <v>78</v>
      </c>
      <c r="O32" s="25"/>
    </row>
    <row r="34" ht="14.45" customHeight="1" x14ac:dyDescent="0.45"/>
    <row r="46" ht="14.45" customHeight="1" x14ac:dyDescent="0.45"/>
    <row r="47" ht="14.45" customHeight="1" x14ac:dyDescent="0.45"/>
    <row r="58" ht="14.45" customHeight="1" x14ac:dyDescent="0.45"/>
    <row r="59" ht="14.45" customHeight="1" x14ac:dyDescent="0.45"/>
    <row r="70" ht="14.45" customHeight="1" x14ac:dyDescent="0.45"/>
    <row r="86" ht="14.45" customHeight="1" x14ac:dyDescent="0.45"/>
    <row r="98" ht="14.45" customHeight="1" x14ac:dyDescent="0.45"/>
    <row r="110" ht="14.45" customHeight="1" x14ac:dyDescent="0.45"/>
    <row r="122" ht="14.45" customHeight="1" x14ac:dyDescent="0.45"/>
  </sheetData>
  <conditionalFormatting sqref="B20 E3 E7 E11 E15 E19 H27 H7 H19 H15 H11 K3 K15 K19 K7 H3:H4 K23 H31 B27">
    <cfRule type="expression" dxfId="8" priority="14">
      <formula>IF($B$4&gt;=11,TRUE,FALSE)</formula>
    </cfRule>
  </conditionalFormatting>
  <conditionalFormatting sqref="H23">
    <cfRule type="expression" dxfId="7" priority="3">
      <formula>IF($B$4&gt;=11,TRUE,FALSE)</formula>
    </cfRule>
  </conditionalFormatting>
  <conditionalFormatting sqref="K11">
    <cfRule type="expression" dxfId="6" priority="1">
      <formula>IF($B$4&gt;=11,TRUE,FALSE)</formula>
    </cfRule>
  </conditionalFormatting>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8200" r:id="rId4" name="List Box 8">
              <controlPr defaultSize="0" autoLine="0" autoPict="0">
                <anchor moveWithCells="1">
                  <from>
                    <xdr:col>1</xdr:col>
                    <xdr:colOff>47625</xdr:colOff>
                    <xdr:row>3</xdr:row>
                    <xdr:rowOff>47625</xdr:rowOff>
                  </from>
                  <to>
                    <xdr:col>2</xdr:col>
                    <xdr:colOff>533400</xdr:colOff>
                    <xdr:row>16</xdr:row>
                    <xdr:rowOff>104775</xdr:rowOff>
                  </to>
                </anchor>
              </controlPr>
            </control>
          </mc:Choice>
        </mc:AlternateContent>
        <mc:AlternateContent xmlns:mc="http://schemas.openxmlformats.org/markup-compatibility/2006">
          <mc:Choice Requires="x14">
            <control shapeId="8227" r:id="rId5" name="List Box 35">
              <controlPr defaultSize="0" autoLine="0" autoPict="0">
                <anchor moveWithCells="1">
                  <from>
                    <xdr:col>1</xdr:col>
                    <xdr:colOff>9525</xdr:colOff>
                    <xdr:row>19</xdr:row>
                    <xdr:rowOff>9525</xdr:rowOff>
                  </from>
                  <to>
                    <xdr:col>2</xdr:col>
                    <xdr:colOff>533400</xdr:colOff>
                    <xdr:row>23</xdr:row>
                    <xdr:rowOff>152400</xdr:rowOff>
                  </to>
                </anchor>
              </controlPr>
            </control>
          </mc:Choice>
        </mc:AlternateContent>
        <mc:AlternateContent xmlns:mc="http://schemas.openxmlformats.org/markup-compatibility/2006">
          <mc:Choice Requires="x14">
            <control shapeId="8233" r:id="rId6" name="List Box 41">
              <controlPr defaultSize="0" autoLine="0" autoPict="0">
                <anchor moveWithCells="1">
                  <from>
                    <xdr:col>1</xdr:col>
                    <xdr:colOff>28575</xdr:colOff>
                    <xdr:row>26</xdr:row>
                    <xdr:rowOff>9525</xdr:rowOff>
                  </from>
                  <to>
                    <xdr:col>2</xdr:col>
                    <xdr:colOff>533400</xdr:colOff>
                    <xdr:row>30</xdr:row>
                    <xdr:rowOff>161925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5" id="{865A0A7D-CABD-4C60-ABBE-D14C4873BE6A}">
            <xm:f>_xlfn.IFNA(MATCH($B$27,Lists!$H$18:$H$22,0)-MATCH($B$27,Lists!$H$18:$H$22,0), TRUE)</xm:f>
            <x14:dxf>
              <fill>
                <patternFill>
                  <bgColor rgb="FFFF0000"/>
                </patternFill>
              </fill>
            </x14:dxf>
          </x14:cfRule>
          <xm:sqref>B26 B28</xm:sqref>
        </x14:conditionalFormatting>
      </x14:conditionalFormattings>
    </ext>
    <ext xmlns:x14="http://schemas.microsoft.com/office/spreadsheetml/2009/9/main" uri="{CCE6A557-97BC-4b89-ADB6-D9C93CAAB3DF}">
      <x14:dataValidations xmlns:xm="http://schemas.microsoft.com/office/excel/2006/main" count="13">
        <x14:dataValidation type="list" allowBlank="1" showInputMessage="1" showErrorMessage="1" xr:uid="{00000000-0002-0000-0200-000000000000}">
          <x14:formula1>
            <xm:f>Lists!$B$6:$B$11</xm:f>
          </x14:formula1>
          <xm:sqref>B20</xm:sqref>
        </x14:dataValidation>
        <x14:dataValidation type="list" allowBlank="1" showInputMessage="1" showErrorMessage="1" xr:uid="{00000000-0002-0000-0200-000001000000}">
          <x14:formula1>
            <xm:f>Lists!$L$6:$L$18</xm:f>
          </x14:formula1>
          <xm:sqref>K3</xm:sqref>
        </x14:dataValidation>
        <x14:dataValidation type="list" allowBlank="1" showInputMessage="1" showErrorMessage="1" xr:uid="{00000000-0002-0000-0200-000002000000}">
          <x14:formula1>
            <xm:f>Lists!$X$6:$X$9</xm:f>
          </x14:formula1>
          <xm:sqref>E3</xm:sqref>
        </x14:dataValidation>
        <x14:dataValidation type="list" allowBlank="1" showInputMessage="1" showErrorMessage="1" xr:uid="{00000000-0002-0000-0200-000003000000}">
          <x14:formula1>
            <xm:f>Lists!$AB$6:$AB$7</xm:f>
          </x14:formula1>
          <xm:sqref>E11</xm:sqref>
        </x14:dataValidation>
        <x14:dataValidation type="list" allowBlank="1" showInputMessage="1" showErrorMessage="1" xr:uid="{00000000-0002-0000-0200-000004000000}">
          <x14:formula1>
            <xm:f>Lists!$AD$6:$AD$10</xm:f>
          </x14:formula1>
          <xm:sqref>E7</xm:sqref>
        </x14:dataValidation>
        <x14:dataValidation type="list" allowBlank="1" showInputMessage="1" showErrorMessage="1" xr:uid="{00000000-0002-0000-0200-000005000000}">
          <x14:formula1>
            <xm:f>Lists!$P$6:$P$9</xm:f>
          </x14:formula1>
          <xm:sqref>H15</xm:sqref>
        </x14:dataValidation>
        <x14:dataValidation type="list" allowBlank="1" showInputMessage="1" showErrorMessage="1" xr:uid="{00000000-0002-0000-0200-000006000000}">
          <x14:formula1>
            <xm:f>Lists!$T$6:$T$22</xm:f>
          </x14:formula1>
          <xm:sqref>B3</xm:sqref>
        </x14:dataValidation>
        <x14:dataValidation type="list" allowBlank="1" showInputMessage="1" showErrorMessage="1" xr:uid="{00000000-0002-0000-0200-000007000000}">
          <x14:formula1>
            <xm:f>Lists!$AF$6:$AF$8</xm:f>
          </x14:formula1>
          <xm:sqref>E15</xm:sqref>
        </x14:dataValidation>
        <x14:dataValidation type="list" allowBlank="1" showInputMessage="1" showErrorMessage="1" xr:uid="{00000000-0002-0000-0200-000008000000}">
          <x14:formula1>
            <xm:f>Lists!$AH$6:$AH$7</xm:f>
          </x14:formula1>
          <xm:sqref>E19</xm:sqref>
        </x14:dataValidation>
        <x14:dataValidation type="list" allowBlank="1" showInputMessage="1" showErrorMessage="1" xr:uid="{00000000-0002-0000-0200-000009000000}">
          <x14:formula1>
            <xm:f>Lists!$H$6:$H$9</xm:f>
          </x14:formula1>
          <xm:sqref>H27</xm:sqref>
        </x14:dataValidation>
        <x14:dataValidation type="list" allowBlank="1" showInputMessage="1" showErrorMessage="1" xr:uid="{00000000-0002-0000-0200-00000A000000}">
          <x14:formula1>
            <xm:f>Lists!$R$6:$R$10</xm:f>
          </x14:formula1>
          <xm:sqref>H31</xm:sqref>
        </x14:dataValidation>
        <x14:dataValidation type="list" allowBlank="1" showInputMessage="1" showErrorMessage="1" xr:uid="{00000000-0002-0000-0200-00000B000000}">
          <x14:formula1>
            <xm:f>Lists!$N$6:$N$11</xm:f>
          </x14:formula1>
          <xm:sqref>H11</xm:sqref>
        </x14:dataValidation>
        <x14:dataValidation type="list" allowBlank="1" showInputMessage="1" showErrorMessage="1" xr:uid="{00000000-0002-0000-0200-00000C000000}">
          <x14:formula1>
            <xm:f>Lists!$D$6:$D$15</xm:f>
          </x14:formula1>
          <xm:sqref>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22"/>
  <sheetViews>
    <sheetView zoomScale="85" zoomScaleNormal="85" workbookViewId="0">
      <selection activeCell="E19" sqref="E19"/>
    </sheetView>
  </sheetViews>
  <sheetFormatPr defaultRowHeight="14.25" x14ac:dyDescent="0.45"/>
  <cols>
    <col min="2" max="2" width="14" customWidth="1"/>
    <col min="3" max="4" width="9.86328125" bestFit="1" customWidth="1"/>
    <col min="5" max="5" width="20.1328125" customWidth="1"/>
    <col min="6" max="6" width="8.86328125" customWidth="1"/>
    <col min="7" max="7" width="9.86328125" bestFit="1" customWidth="1"/>
    <col min="8" max="8" width="22.265625" customWidth="1"/>
    <col min="9" max="10" width="9.86328125" bestFit="1" customWidth="1"/>
    <col min="11" max="11" width="22.86328125" customWidth="1"/>
    <col min="12" max="13" width="9.86328125" bestFit="1" customWidth="1"/>
    <col min="14" max="14" width="11.86328125" bestFit="1" customWidth="1"/>
    <col min="15" max="15" width="10.265625" customWidth="1"/>
    <col min="16" max="16" width="11.59765625" bestFit="1" customWidth="1"/>
    <col min="17" max="23" width="9.86328125" bestFit="1" customWidth="1"/>
    <col min="24" max="32" width="8.86328125" bestFit="1" customWidth="1"/>
  </cols>
  <sheetData>
    <row r="1" spans="2:16" x14ac:dyDescent="0.45">
      <c r="B1" s="23" t="s">
        <v>8</v>
      </c>
      <c r="E1" s="23" t="s">
        <v>200</v>
      </c>
      <c r="H1" s="23" t="s">
        <v>3</v>
      </c>
      <c r="K1" s="23" t="s">
        <v>352</v>
      </c>
    </row>
    <row r="2" spans="2:16" x14ac:dyDescent="0.45">
      <c r="B2" s="1" t="s">
        <v>153</v>
      </c>
      <c r="E2" s="1" t="s">
        <v>132</v>
      </c>
      <c r="H2" s="1" t="s">
        <v>11</v>
      </c>
      <c r="K2" s="1" t="s">
        <v>6</v>
      </c>
      <c r="O2" s="1" t="s">
        <v>367</v>
      </c>
      <c r="P2" s="1" t="s">
        <v>368</v>
      </c>
    </row>
    <row r="3" spans="2:16" x14ac:dyDescent="0.45">
      <c r="B3" s="29" t="str">
        <f>Lists!$V$9</f>
        <v>Class 8 Bus</v>
      </c>
      <c r="E3" s="2" t="s">
        <v>142</v>
      </c>
      <c r="H3" s="2">
        <v>0</v>
      </c>
      <c r="I3" t="s">
        <v>229</v>
      </c>
      <c r="K3" s="2" t="s">
        <v>108</v>
      </c>
      <c r="N3" t="s">
        <v>39</v>
      </c>
      <c r="O3" s="47">
        <f ca="1">Dashboard!AH46</f>
        <v>358472.63679710939</v>
      </c>
      <c r="P3" s="62">
        <f ca="1">Dashboard!AJ94</f>
        <v>0.74667605906716283</v>
      </c>
    </row>
    <row r="4" spans="2:16" x14ac:dyDescent="0.45">
      <c r="B4">
        <f>Lists!$V$6</f>
        <v>16</v>
      </c>
      <c r="E4" t="s">
        <v>78</v>
      </c>
      <c r="H4" s="2">
        <v>10</v>
      </c>
      <c r="I4" t="s">
        <v>230</v>
      </c>
      <c r="K4" t="s">
        <v>78</v>
      </c>
      <c r="N4" t="s">
        <v>4</v>
      </c>
      <c r="O4" s="47">
        <f ca="1">Dashboard!AH47</f>
        <v>44423.644118193981</v>
      </c>
      <c r="P4" s="62">
        <f ca="1">Dashboard!AJ95</f>
        <v>9.2531669407026562E-2</v>
      </c>
    </row>
    <row r="5" spans="2:16" x14ac:dyDescent="0.45">
      <c r="N5" t="s">
        <v>54</v>
      </c>
      <c r="O5" s="47">
        <f ca="1">Dashboard!AH48</f>
        <v>74993.598553214921</v>
      </c>
      <c r="P5" s="62">
        <f ca="1">Dashboard!AJ96</f>
        <v>0.15620697056069116</v>
      </c>
    </row>
    <row r="6" spans="2:16" x14ac:dyDescent="0.45">
      <c r="E6" s="1" t="s">
        <v>98</v>
      </c>
      <c r="H6" s="1" t="s">
        <v>10</v>
      </c>
      <c r="K6" s="1" t="s">
        <v>201</v>
      </c>
      <c r="N6" t="s">
        <v>25</v>
      </c>
      <c r="O6" s="47">
        <f ca="1">Dashboard!AH49</f>
        <v>283773.75864754181</v>
      </c>
      <c r="P6" s="62">
        <f ca="1">Dashboard!AJ97</f>
        <v>0.59108297265531018</v>
      </c>
    </row>
    <row r="7" spans="2:16" x14ac:dyDescent="0.45">
      <c r="E7" s="2">
        <v>2020</v>
      </c>
      <c r="H7" s="3">
        <f>7.3%-2.3%</f>
        <v>4.9999999999999996E-2</v>
      </c>
      <c r="K7" s="2" t="b">
        <v>1</v>
      </c>
      <c r="N7" t="s">
        <v>41</v>
      </c>
      <c r="O7" s="47">
        <f ca="1">Dashboard!AH50</f>
        <v>105937.32620614902</v>
      </c>
      <c r="P7" s="62">
        <f ca="1">Dashboard!AJ98</f>
        <v>0.2206608179259435</v>
      </c>
    </row>
    <row r="8" spans="2:16" x14ac:dyDescent="0.45">
      <c r="E8" t="s">
        <v>369</v>
      </c>
      <c r="H8" t="s">
        <v>361</v>
      </c>
      <c r="K8" t="s">
        <v>7</v>
      </c>
      <c r="N8" t="s">
        <v>23</v>
      </c>
      <c r="O8" s="47">
        <f ca="1">Dashboard!AH51</f>
        <v>296930.70698738238</v>
      </c>
      <c r="P8" s="62">
        <f ca="1">Dashboard!AJ99</f>
        <v>0.61848807231233827</v>
      </c>
    </row>
    <row r="9" spans="2:16" x14ac:dyDescent="0.45">
      <c r="N9" t="s">
        <v>40</v>
      </c>
      <c r="O9" s="47">
        <f ca="1">Dashboard!AH52</f>
        <v>0</v>
      </c>
      <c r="P9" s="62">
        <f ca="1">Dashboard!AJ100</f>
        <v>0</v>
      </c>
    </row>
    <row r="10" spans="2:16" x14ac:dyDescent="0.45">
      <c r="E10" s="1" t="s">
        <v>152</v>
      </c>
      <c r="H10" s="1" t="s">
        <v>5</v>
      </c>
      <c r="K10" s="1" t="s">
        <v>460</v>
      </c>
      <c r="N10" t="s">
        <v>85</v>
      </c>
      <c r="O10" s="47">
        <f ca="1">Dashboard!AH53</f>
        <v>12353.242129211727</v>
      </c>
      <c r="P10" s="62">
        <f ca="1">Dashboard!AJ101</f>
        <v>2.5731029939009945E-2</v>
      </c>
    </row>
    <row r="11" spans="2:16" x14ac:dyDescent="0.45">
      <c r="E11" s="2" t="s">
        <v>149</v>
      </c>
      <c r="H11" s="2" t="s">
        <v>131</v>
      </c>
      <c r="K11" s="2" t="b">
        <v>0</v>
      </c>
      <c r="N11" t="s">
        <v>87</v>
      </c>
      <c r="O11" s="47">
        <f ca="1">Dashboard!AH54</f>
        <v>961181.92618629115</v>
      </c>
      <c r="P11" s="62">
        <f ca="1">Dashboard!AJ102</f>
        <v>2.002081774229167</v>
      </c>
    </row>
    <row r="12" spans="2:16" x14ac:dyDescent="0.45">
      <c r="E12" t="s">
        <v>78</v>
      </c>
      <c r="H12" t="s">
        <v>78</v>
      </c>
      <c r="K12" t="s">
        <v>7</v>
      </c>
      <c r="N12" s="1" t="s">
        <v>327</v>
      </c>
      <c r="O12" s="61">
        <f ca="1">SUM(O3:O11)</f>
        <v>2138066.8396250946</v>
      </c>
      <c r="P12" s="60">
        <f ca="1">SUM(P3:P11)</f>
        <v>4.4534593660966495</v>
      </c>
    </row>
    <row r="14" spans="2:16" x14ac:dyDescent="0.45">
      <c r="E14" s="1" t="s">
        <v>423</v>
      </c>
      <c r="H14" s="1" t="s">
        <v>154</v>
      </c>
      <c r="K14" s="1" t="s">
        <v>89</v>
      </c>
    </row>
    <row r="15" spans="2:16" x14ac:dyDescent="0.45">
      <c r="E15" s="2" t="b">
        <v>0</v>
      </c>
      <c r="H15" s="3" t="s">
        <v>257</v>
      </c>
      <c r="K15" s="2" t="b">
        <v>1</v>
      </c>
    </row>
    <row r="16" spans="2:16" x14ac:dyDescent="0.45">
      <c r="E16" t="s">
        <v>7</v>
      </c>
      <c r="H16" t="s">
        <v>78</v>
      </c>
      <c r="K16" t="s">
        <v>7</v>
      </c>
    </row>
    <row r="18" spans="2:15" x14ac:dyDescent="0.45">
      <c r="H18" s="1" t="s">
        <v>4</v>
      </c>
      <c r="K18" s="1" t="s">
        <v>458</v>
      </c>
    </row>
    <row r="19" spans="2:15" x14ac:dyDescent="0.45">
      <c r="B19" s="1" t="s">
        <v>9</v>
      </c>
      <c r="H19" s="2" t="b">
        <v>1</v>
      </c>
      <c r="K19" s="2" t="b">
        <v>1</v>
      </c>
    </row>
    <row r="20" spans="2:15" x14ac:dyDescent="0.45">
      <c r="B20" s="2" t="str">
        <f>Lists!$F$6</f>
        <v>BEV</v>
      </c>
      <c r="H20" t="s">
        <v>7</v>
      </c>
      <c r="K20" t="s">
        <v>7</v>
      </c>
    </row>
    <row r="21" spans="2:15" x14ac:dyDescent="0.45">
      <c r="B21" t="s">
        <v>78</v>
      </c>
    </row>
    <row r="22" spans="2:15" x14ac:dyDescent="0.45">
      <c r="H22" s="1" t="s">
        <v>395</v>
      </c>
      <c r="K22" s="1" t="s">
        <v>527</v>
      </c>
    </row>
    <row r="23" spans="2:15" x14ac:dyDescent="0.45">
      <c r="H23" s="3">
        <v>0.04</v>
      </c>
      <c r="K23" s="2" t="b">
        <v>0</v>
      </c>
    </row>
    <row r="24" spans="2:15" x14ac:dyDescent="0.45">
      <c r="H24" t="s">
        <v>261</v>
      </c>
      <c r="K24" t="s">
        <v>7</v>
      </c>
    </row>
    <row r="26" spans="2:15" x14ac:dyDescent="0.45">
      <c r="B26" s="1" t="s">
        <v>54</v>
      </c>
      <c r="H26" s="1" t="s">
        <v>194</v>
      </c>
    </row>
    <row r="27" spans="2:15" x14ac:dyDescent="0.45">
      <c r="B27" s="2" t="str">
        <f>Lists!$F$9</f>
        <v>Diesel</v>
      </c>
      <c r="H27" s="2" t="s">
        <v>330</v>
      </c>
    </row>
    <row r="28" spans="2:15" x14ac:dyDescent="0.45">
      <c r="B28" t="s">
        <v>78</v>
      </c>
      <c r="H28" t="s">
        <v>78</v>
      </c>
    </row>
    <row r="29" spans="2:15" x14ac:dyDescent="0.45">
      <c r="O29" s="25"/>
    </row>
    <row r="30" spans="2:15" x14ac:dyDescent="0.45">
      <c r="H30" s="1" t="s">
        <v>273</v>
      </c>
      <c r="O30" s="25"/>
    </row>
    <row r="31" spans="2:15" x14ac:dyDescent="0.45">
      <c r="H31" s="2" t="s">
        <v>268</v>
      </c>
      <c r="O31" s="25"/>
    </row>
    <row r="32" spans="2:15" x14ac:dyDescent="0.45">
      <c r="H32" t="s">
        <v>78</v>
      </c>
      <c r="O32" s="25"/>
    </row>
    <row r="34" ht="14.45" customHeight="1" x14ac:dyDescent="0.45"/>
    <row r="46" ht="14.45" customHeight="1" x14ac:dyDescent="0.45"/>
    <row r="47" ht="14.45" customHeight="1" x14ac:dyDescent="0.45"/>
    <row r="58" ht="14.45" customHeight="1" x14ac:dyDescent="0.45"/>
    <row r="59" ht="14.45" customHeight="1" x14ac:dyDescent="0.45"/>
    <row r="70" ht="14.45" customHeight="1" x14ac:dyDescent="0.45"/>
    <row r="86" ht="14.45" customHeight="1" x14ac:dyDescent="0.45"/>
    <row r="98" ht="14.45" customHeight="1" x14ac:dyDescent="0.45"/>
    <row r="110" ht="14.45" customHeight="1" x14ac:dyDescent="0.45"/>
    <row r="122" ht="14.45" customHeight="1" x14ac:dyDescent="0.45"/>
  </sheetData>
  <conditionalFormatting sqref="K3 K15 H27 H7 H19 H15 H11 B20 B27 E3 E7 E11 H3:H4 K23 K7 K19 H31">
    <cfRule type="expression" dxfId="4" priority="14">
      <formula>IF($B$4&lt;=10, TRUE, FALSE)</formula>
    </cfRule>
  </conditionalFormatting>
  <conditionalFormatting sqref="H23">
    <cfRule type="expression" dxfId="3" priority="3">
      <formula>IF($B$4&lt;=10, TRUE, FALSE)</formula>
    </cfRule>
  </conditionalFormatting>
  <conditionalFormatting sqref="E15">
    <cfRule type="expression" dxfId="2" priority="2">
      <formula>IF($B$4&lt;=10, TRUE, FALSE)</formula>
    </cfRule>
  </conditionalFormatting>
  <conditionalFormatting sqref="K11">
    <cfRule type="expression" dxfId="1" priority="1">
      <formula>IF($B$4&lt;=10, TRUE, FALSE)</formula>
    </cfRule>
  </conditionalFormatting>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7173" r:id="rId4" name="List Box 5">
              <controlPr defaultSize="0" autoLine="0" autoPict="0">
                <anchor moveWithCells="1">
                  <from>
                    <xdr:col>1</xdr:col>
                    <xdr:colOff>47625</xdr:colOff>
                    <xdr:row>3</xdr:row>
                    <xdr:rowOff>47625</xdr:rowOff>
                  </from>
                  <to>
                    <xdr:col>2</xdr:col>
                    <xdr:colOff>533400</xdr:colOff>
                    <xdr:row>16</xdr:row>
                    <xdr:rowOff>104775</xdr:rowOff>
                  </to>
                </anchor>
              </controlPr>
            </control>
          </mc:Choice>
        </mc:AlternateContent>
        <mc:AlternateContent xmlns:mc="http://schemas.openxmlformats.org/markup-compatibility/2006">
          <mc:Choice Requires="x14">
            <control shapeId="7186" r:id="rId5" name="List Box 18">
              <controlPr defaultSize="0" autoLine="0" autoPict="0">
                <anchor moveWithCells="1">
                  <from>
                    <xdr:col>1</xdr:col>
                    <xdr:colOff>9525</xdr:colOff>
                    <xdr:row>18</xdr:row>
                    <xdr:rowOff>180975</xdr:rowOff>
                  </from>
                  <to>
                    <xdr:col>2</xdr:col>
                    <xdr:colOff>523875</xdr:colOff>
                    <xdr:row>23</xdr:row>
                    <xdr:rowOff>142875</xdr:rowOff>
                  </to>
                </anchor>
              </controlPr>
            </control>
          </mc:Choice>
        </mc:AlternateContent>
        <mc:AlternateContent xmlns:mc="http://schemas.openxmlformats.org/markup-compatibility/2006">
          <mc:Choice Requires="x14">
            <control shapeId="7192" r:id="rId6" name="List Box 24">
              <controlPr defaultSize="0" autoLine="0" autoPict="0">
                <anchor moveWithCells="1">
                  <from>
                    <xdr:col>1</xdr:col>
                    <xdr:colOff>9525</xdr:colOff>
                    <xdr:row>26</xdr:row>
                    <xdr:rowOff>0</xdr:rowOff>
                  </from>
                  <to>
                    <xdr:col>2</xdr:col>
                    <xdr:colOff>552450</xdr:colOff>
                    <xdr:row>30</xdr:row>
                    <xdr:rowOff>142875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8" id="{8AAF10CF-86D8-4D1D-AED1-F2CF4707CA27}">
            <xm:f>_xlfn.IFNA(MATCH($B$27,Lists!$H$18:$H$22,0)-MATCH($B$27,Lists!$H$18:$H$22,0), TRUE)</xm:f>
            <x14:dxf>
              <fill>
                <patternFill>
                  <bgColor rgb="FFFF0000"/>
                </patternFill>
              </fill>
            </x14:dxf>
          </x14:cfRule>
          <xm:sqref>B26:B28</xm:sqref>
        </x14:conditionalFormatting>
      </x14:conditionalFormattings>
    </ex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Lists!$H$6:$H$9</xm:f>
          </x14:formula1>
          <xm:sqref>H27</xm:sqref>
        </x14:dataValidation>
        <x14:dataValidation type="list" allowBlank="1" showInputMessage="1" showErrorMessage="1" xr:uid="{00000000-0002-0000-0300-000001000000}">
          <x14:formula1>
            <xm:f>Lists!$P$6:$P$9</xm:f>
          </x14:formula1>
          <xm:sqref>H15</xm:sqref>
        </x14:dataValidation>
        <x14:dataValidation type="list" allowBlank="1" showInputMessage="1" showErrorMessage="1" xr:uid="{00000000-0002-0000-0300-000002000000}">
          <x14:formula1>
            <xm:f>Lists!$AD$6:$AD$10</xm:f>
          </x14:formula1>
          <xm:sqref>E7</xm:sqref>
        </x14:dataValidation>
        <x14:dataValidation type="list" allowBlank="1" showInputMessage="1" showErrorMessage="1" xr:uid="{00000000-0002-0000-0300-000003000000}">
          <x14:formula1>
            <xm:f>Lists!$AB$6:$AB$7</xm:f>
          </x14:formula1>
          <xm:sqref>E11</xm:sqref>
        </x14:dataValidation>
        <x14:dataValidation type="list" allowBlank="1" showInputMessage="1" showErrorMessage="1" xr:uid="{00000000-0002-0000-0300-000004000000}">
          <x14:formula1>
            <xm:f>Lists!$X$6:$X$9</xm:f>
          </x14:formula1>
          <xm:sqref>E3</xm:sqref>
        </x14:dataValidation>
        <x14:dataValidation type="list" allowBlank="1" showInputMessage="1" showErrorMessage="1" xr:uid="{00000000-0002-0000-0300-000005000000}">
          <x14:formula1>
            <xm:f>Lists!$L$19:$L$44</xm:f>
          </x14:formula1>
          <xm:sqref>K3</xm:sqref>
        </x14:dataValidation>
        <x14:dataValidation type="list" allowBlank="1" showInputMessage="1" showErrorMessage="1" xr:uid="{00000000-0002-0000-0300-000006000000}">
          <x14:formula1>
            <xm:f>Lists!$B$7:$B$11</xm:f>
          </x14:formula1>
          <xm:sqref>B20</xm:sqref>
        </x14:dataValidation>
        <x14:dataValidation type="list" allowBlank="1" showInputMessage="1" showErrorMessage="1" xr:uid="{00000000-0002-0000-0300-000007000000}">
          <x14:formula1>
            <xm:f>Lists!$R$6:$R$10</xm:f>
          </x14:formula1>
          <xm:sqref>H31</xm:sqref>
        </x14:dataValidation>
        <x14:dataValidation type="list" allowBlank="1" showInputMessage="1" showErrorMessage="1" xr:uid="{00000000-0002-0000-0300-000008000000}">
          <x14:formula1>
            <xm:f>Lists!$N$6:$N$9</xm:f>
          </x14:formula1>
          <xm:sqref>H11</xm:sqref>
        </x14:dataValidation>
        <x14:dataValidation type="list" allowBlank="1" showInputMessage="1" showErrorMessage="1" xr:uid="{00000000-0002-0000-0300-000009000000}">
          <x14:formula1>
            <xm:f>Lists!$D$6:$D$15</xm:f>
          </x14:formula1>
          <xm:sqref>B27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314"/>
  <sheetViews>
    <sheetView topLeftCell="A55" workbookViewId="0">
      <selection activeCell="K69" sqref="K69"/>
    </sheetView>
  </sheetViews>
  <sheetFormatPr defaultRowHeight="14.25" x14ac:dyDescent="0.45"/>
  <cols>
    <col min="3" max="3" width="8.86328125" customWidth="1"/>
    <col min="5" max="5" width="19.1328125" customWidth="1"/>
    <col min="8" max="8" width="8.86328125" customWidth="1"/>
  </cols>
  <sheetData>
    <row r="1" spans="1:33" x14ac:dyDescent="0.45">
      <c r="A1" t="s">
        <v>9</v>
      </c>
      <c r="B1" s="6" t="str">
        <f>Dashboard!$B$20</f>
        <v>BEV</v>
      </c>
      <c r="C1" t="s">
        <v>61</v>
      </c>
      <c r="D1" s="6" t="str">
        <f>Dashboard!B3</f>
        <v>Class 8 Bus</v>
      </c>
      <c r="F1" t="s">
        <v>193</v>
      </c>
      <c r="G1" s="27">
        <f>1-ISERROR(FIND("Luxury",D1))</f>
        <v>0</v>
      </c>
      <c r="I1">
        <f>MATCH(Dashboard!B3,Lists!$T$6:$T$22,0)</f>
        <v>16</v>
      </c>
    </row>
    <row r="3" spans="1:33"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row>
    <row r="4" spans="1:33" x14ac:dyDescent="0.45">
      <c r="A4" t="s">
        <v>2</v>
      </c>
      <c r="B4">
        <f ca="1">$M$14</f>
        <v>18.785365271903114</v>
      </c>
      <c r="C4">
        <f t="shared" ref="C4:AF4" ca="1" si="0">B4*(1-$Q$14)</f>
        <v>18.785365271903114</v>
      </c>
      <c r="D4">
        <f t="shared" ca="1" si="0"/>
        <v>18.785365271903114</v>
      </c>
      <c r="E4">
        <f t="shared" ca="1" si="0"/>
        <v>18.785365271903114</v>
      </c>
      <c r="F4">
        <f t="shared" ca="1" si="0"/>
        <v>18.785365271903114</v>
      </c>
      <c r="G4">
        <f t="shared" ca="1" si="0"/>
        <v>18.785365271903114</v>
      </c>
      <c r="H4">
        <f t="shared" ca="1" si="0"/>
        <v>18.785365271903114</v>
      </c>
      <c r="I4">
        <f t="shared" ca="1" si="0"/>
        <v>18.785365271903114</v>
      </c>
      <c r="J4">
        <f t="shared" ca="1" si="0"/>
        <v>18.785365271903114</v>
      </c>
      <c r="K4">
        <f t="shared" ca="1" si="0"/>
        <v>18.785365271903114</v>
      </c>
      <c r="L4">
        <f t="shared" ca="1" si="0"/>
        <v>18.785365271903114</v>
      </c>
      <c r="M4">
        <f t="shared" ca="1" si="0"/>
        <v>18.785365271903114</v>
      </c>
      <c r="N4">
        <f t="shared" ca="1" si="0"/>
        <v>18.785365271903114</v>
      </c>
      <c r="O4">
        <f t="shared" ca="1" si="0"/>
        <v>18.785365271903114</v>
      </c>
      <c r="P4">
        <f t="shared" ca="1" si="0"/>
        <v>18.785365271903114</v>
      </c>
      <c r="Q4">
        <f t="shared" ca="1" si="0"/>
        <v>18.785365271903114</v>
      </c>
      <c r="R4">
        <f t="shared" ca="1" si="0"/>
        <v>18.785365271903114</v>
      </c>
      <c r="S4">
        <f t="shared" ca="1" si="0"/>
        <v>18.785365271903114</v>
      </c>
      <c r="T4">
        <f t="shared" ca="1" si="0"/>
        <v>18.785365271903114</v>
      </c>
      <c r="U4">
        <f t="shared" ca="1" si="0"/>
        <v>18.785365271903114</v>
      </c>
      <c r="V4">
        <f t="shared" ca="1" si="0"/>
        <v>18.785365271903114</v>
      </c>
      <c r="W4">
        <f t="shared" ca="1" si="0"/>
        <v>18.785365271903114</v>
      </c>
      <c r="X4">
        <f t="shared" ca="1" si="0"/>
        <v>18.785365271903114</v>
      </c>
      <c r="Y4">
        <f t="shared" ca="1" si="0"/>
        <v>18.785365271903114</v>
      </c>
      <c r="Z4">
        <f t="shared" ca="1" si="0"/>
        <v>18.785365271903114</v>
      </c>
      <c r="AA4">
        <f t="shared" ca="1" si="0"/>
        <v>18.785365271903114</v>
      </c>
      <c r="AB4">
        <f t="shared" ca="1" si="0"/>
        <v>18.785365271903114</v>
      </c>
      <c r="AC4">
        <f t="shared" ca="1" si="0"/>
        <v>18.785365271903114</v>
      </c>
      <c r="AD4">
        <f t="shared" ca="1" si="0"/>
        <v>18.785365271903114</v>
      </c>
      <c r="AE4">
        <f t="shared" ca="1" si="0"/>
        <v>18.785365271903114</v>
      </c>
      <c r="AF4">
        <f t="shared" ca="1" si="0"/>
        <v>18.785365271903114</v>
      </c>
    </row>
    <row r="6" spans="1:33" x14ac:dyDescent="0.45">
      <c r="A6" t="s">
        <v>0</v>
      </c>
      <c r="B6">
        <v>0</v>
      </c>
      <c r="C6">
        <v>1</v>
      </c>
      <c r="D6">
        <v>2</v>
      </c>
      <c r="E6">
        <v>3</v>
      </c>
      <c r="F6">
        <v>4</v>
      </c>
      <c r="G6">
        <v>5</v>
      </c>
      <c r="H6">
        <v>6</v>
      </c>
      <c r="I6">
        <v>7</v>
      </c>
      <c r="J6">
        <v>8</v>
      </c>
      <c r="K6">
        <v>9</v>
      </c>
      <c r="L6">
        <v>10</v>
      </c>
      <c r="M6">
        <v>11</v>
      </c>
      <c r="N6">
        <v>12</v>
      </c>
      <c r="O6">
        <v>13</v>
      </c>
      <c r="P6">
        <v>14</v>
      </c>
      <c r="Q6">
        <v>15</v>
      </c>
      <c r="R6">
        <v>16</v>
      </c>
      <c r="S6">
        <v>17</v>
      </c>
      <c r="T6">
        <v>18</v>
      </c>
      <c r="U6">
        <v>19</v>
      </c>
      <c r="V6">
        <v>20</v>
      </c>
      <c r="W6">
        <v>21</v>
      </c>
      <c r="X6">
        <v>22</v>
      </c>
      <c r="Y6">
        <v>23</v>
      </c>
      <c r="Z6">
        <v>24</v>
      </c>
      <c r="AA6">
        <v>25</v>
      </c>
      <c r="AB6">
        <v>26</v>
      </c>
      <c r="AC6">
        <v>27</v>
      </c>
      <c r="AD6">
        <v>28</v>
      </c>
      <c r="AE6">
        <v>29</v>
      </c>
      <c r="AF6">
        <v>30</v>
      </c>
    </row>
    <row r="7" spans="1:33" x14ac:dyDescent="0.45">
      <c r="A7" t="s">
        <v>35</v>
      </c>
      <c r="B7">
        <v>0</v>
      </c>
      <c r="C7">
        <f ca="1">IF(Dashboard!$H$19=TRUE, $A$14*$A$23 + 12*IF(C3&lt;=$A$20,$C$27, IF(ROUNDUP($A$20,0)=C6, MOD($A$20,1)*$C$27, 0)),   IF(C6=Dashboard!$H$3+1, INDEX(ResidualValue!$C$5:$AF$5,1,Dashboard!$H$3), 0))</f>
        <v>149135.258129058</v>
      </c>
      <c r="D7">
        <f ca="1">IF(Dashboard!$H$19=TRUE, 12*IF(D3&lt;=$A$20,$C$27, IF(ROUNDUP($A$20,0)=D6, MOD($A$20,1)*$C$27, 0)),   IF(D6=Dashboard!$H$3+1,INDEX(ResidualValue!$C$5:$AF$5,1,Dashboard!$H$3),0))</f>
        <v>90672.391009052997</v>
      </c>
      <c r="E7">
        <f ca="1">IF(Dashboard!$H$19=TRUE, 12*IF(E3&lt;=$A$20,$C$27, IF(ROUNDUP($A$20,0)=E6, MOD($A$20,1)*$C$27, 0)),   IF(E6=Dashboard!$H$3+1,INDEX(ResidualValue!$C$5:$AF$5,1,Dashboard!$H$3),0))</f>
        <v>90672.391009052997</v>
      </c>
      <c r="F7">
        <f ca="1">IF(Dashboard!$H$19=TRUE, 12*IF(F3&lt;=$A$20,$C$27, IF(ROUNDUP($A$20,0)=F6, MOD($A$20,1)*$C$27, 0)),   IF(F6=Dashboard!$H$3+1,INDEX(ResidualValue!$C$5:$AF$5,1,Dashboard!$H$3),0))</f>
        <v>90672.391009052997</v>
      </c>
      <c r="G7">
        <f ca="1">IF(Dashboard!$H$19=TRUE, 12*IF(G3&lt;=$A$20,$C$27, IF(ROUNDUP($A$20,0)=G6, MOD($A$20,1)*$C$27, 0)),   IF(G6=Dashboard!$H$3+1,INDEX(ResidualValue!$C$5:$AF$5,1,Dashboard!$H$3),0))</f>
        <v>90672.391009052997</v>
      </c>
      <c r="H7">
        <f ca="1">IF(Dashboard!$H$19=TRUE, 12*IF(H3&lt;=$A$20,$C$27, IF(ROUNDUP($A$20,0)=H6, MOD($A$20,1)*$C$27, 0)),   IF(H6=Dashboard!$H$3+1,INDEX(ResidualValue!$C$5:$AF$5,1,Dashboard!$H$3),0))</f>
        <v>22668.097752263249</v>
      </c>
      <c r="I7">
        <f>IF(Dashboard!$H$19=TRUE, 12*IF(I3&lt;=$A$20,$C$27, IF(ROUNDUP($A$20,0)=I6, MOD($A$20,1)*$C$27, 0)),   IF(I6=Dashboard!$H$3+1,INDEX(ResidualValue!$C$5:$AF$5,1,Dashboard!$H$3),0))</f>
        <v>0</v>
      </c>
      <c r="J7">
        <f>IF(Dashboard!$H$19=TRUE, 12*IF(J3&lt;=$A$20,$C$27, IF(ROUNDUP($A$20,0)=J6, MOD($A$20,1)*$C$27, 0)),   IF(J6=Dashboard!$H$3+1,INDEX(ResidualValue!$C$5:$AF$5,1,Dashboard!$H$3),0))</f>
        <v>0</v>
      </c>
      <c r="K7">
        <f>IF(Dashboard!$H$19=TRUE, 12*IF(K3&lt;=$A$20,$C$27, IF(ROUNDUP($A$20,0)=K6, MOD($A$20,1)*$C$27, 0)),   IF(K6=Dashboard!$H$3+1,INDEX(ResidualValue!$C$5:$AF$5,1,Dashboard!$H$3),0))</f>
        <v>0</v>
      </c>
      <c r="L7">
        <f>IF(Dashboard!$H$19=TRUE, 12*IF(L3&lt;=$A$20,$C$27, IF(ROUNDUP($A$20,0)=L6, MOD($A$20,1)*$C$27, 0)),   IF(L6=Dashboard!$H$3+1,INDEX(ResidualValue!$C$5:$AF$5,1,Dashboard!$H$3),0))</f>
        <v>0</v>
      </c>
      <c r="M7">
        <f>IF(Dashboard!$H$19=TRUE, 12*IF(M3&lt;=$A$20,$C$27, IF(ROUNDUP($A$20,0)=M6, MOD($A$20,1)*$C$27, 0)),   IF(M6=Dashboard!$H$3+1,INDEX(ResidualValue!$C$5:$AF$5,1,Dashboard!$H$3),0))</f>
        <v>0</v>
      </c>
      <c r="N7">
        <f>IF(Dashboard!$H$19=TRUE, 12*IF(N3&lt;=$A$20,$C$27, IF(ROUNDUP($A$20,0)=N6, MOD($A$20,1)*$C$27, 0)),   IF(N6=Dashboard!$H$3+1,INDEX(ResidualValue!$C$5:$AF$5,1,Dashboard!$H$3),0))</f>
        <v>0</v>
      </c>
      <c r="O7">
        <f>IF(Dashboard!$H$19=TRUE, 12*IF(O3&lt;=$A$20,$C$27, IF(ROUNDUP($A$20,0)=O6, MOD($A$20,1)*$C$27, 0)),   IF(O6=Dashboard!$H$3+1,INDEX(ResidualValue!$C$5:$AF$5,1,Dashboard!$H$3),0))</f>
        <v>0</v>
      </c>
      <c r="P7">
        <f>IF(Dashboard!$H$19=TRUE, 12*IF(P3&lt;=$A$20,$C$27, IF(ROUNDUP($A$20,0)=P6, MOD($A$20,1)*$C$27, 0)),   IF(P6=Dashboard!$H$3+1,INDEX(ResidualValue!$C$5:$AF$5,1,Dashboard!$H$3),0))</f>
        <v>0</v>
      </c>
      <c r="Q7">
        <f>IF(Dashboard!$H$19=TRUE, 12*IF(Q3&lt;=$A$20,$C$27, IF(ROUNDUP($A$20,0)=Q6, MOD($A$20,1)*$C$27, 0)),   IF(Q6=Dashboard!$H$3+1,INDEX(ResidualValue!$C$5:$AF$5,1,Dashboard!$H$3),0))</f>
        <v>0</v>
      </c>
      <c r="R7">
        <f>IF(Dashboard!$H$19=TRUE, 12*IF(R3&lt;=$A$20,$C$27, IF(ROUNDUP($A$20,0)=R6, MOD($A$20,1)*$C$27, 0)),   IF(R6=Dashboard!$H$3+1,INDEX(ResidualValue!$C$5:$AF$5,1,Dashboard!$H$3),0))</f>
        <v>0</v>
      </c>
      <c r="S7">
        <f>IF(Dashboard!$H$19=TRUE, 12*IF(S3&lt;=$A$20,$C$27, IF(ROUNDUP($A$20,0)=S6, MOD($A$20,1)*$C$27, 0)),   IF(S6=Dashboard!$H$3+1,INDEX(ResidualValue!$C$5:$AF$5,1,Dashboard!$H$3),0))</f>
        <v>0</v>
      </c>
      <c r="T7">
        <f>IF(Dashboard!$H$19=TRUE, 12*IF(T3&lt;=$A$20,$C$27, IF(ROUNDUP($A$20,0)=T6, MOD($A$20,1)*$C$27, 0)),   IF(T6=Dashboard!$H$3+1,INDEX(ResidualValue!$C$5:$AF$5,1,Dashboard!$H$3),0))</f>
        <v>0</v>
      </c>
      <c r="U7">
        <f>IF(Dashboard!$H$19=TRUE, 12*IF(U3&lt;=$A$20,$C$27, IF(ROUNDUP($A$20,0)=U6, MOD($A$20,1)*$C$27, 0)),   IF(U6=Dashboard!$H$3+1,INDEX(ResidualValue!$C$5:$AF$5,1,Dashboard!$H$3),0))</f>
        <v>0</v>
      </c>
      <c r="V7">
        <f>IF(Dashboard!$H$19=TRUE, 12*IF(V3&lt;=$A$20,$C$27, IF(ROUNDUP($A$20,0)=V6, MOD($A$20,1)*$C$27, 0)),   IF(V6=Dashboard!$H$3+1,INDEX(ResidualValue!$C$5:$AF$5,1,Dashboard!$H$3),0))</f>
        <v>0</v>
      </c>
      <c r="W7">
        <f>IF(Dashboard!$H$19=TRUE, 12*IF(W3&lt;=$A$20,$C$27, IF(ROUNDUP($A$20,0)=W6, MOD($A$20,1)*$C$27, 0)),   IF(W6=Dashboard!$H$3+1,INDEX(ResidualValue!$C$5:$AF$5,1,Dashboard!$H$3),0))</f>
        <v>0</v>
      </c>
      <c r="X7">
        <f>IF(Dashboard!$H$19=TRUE, 12*IF(X3&lt;=$A$20,$C$27, IF(ROUNDUP($A$20,0)=X6, MOD($A$20,1)*$C$27, 0)),   IF(X6=Dashboard!$H$3+1,INDEX(ResidualValue!$C$5:$AF$5,1,Dashboard!$H$3),0))</f>
        <v>0</v>
      </c>
      <c r="Y7">
        <f>IF(Dashboard!$H$19=TRUE, 12*IF(Y3&lt;=$A$20,$C$27, IF(ROUNDUP($A$20,0)=Y6, MOD($A$20,1)*$C$27, 0)),   IF(Y6=Dashboard!$H$3+1,INDEX(ResidualValue!$C$5:$AF$5,1,Dashboard!$H$3),0))</f>
        <v>0</v>
      </c>
      <c r="Z7">
        <f>IF(Dashboard!$H$19=TRUE, 12*IF(Z3&lt;=$A$20,$C$27, IF(ROUNDUP($A$20,0)=Z6, MOD($A$20,1)*$C$27, 0)),   IF(Z6=Dashboard!$H$3+1,INDEX(ResidualValue!$C$5:$AF$5,1,Dashboard!$H$3),0))</f>
        <v>0</v>
      </c>
      <c r="AA7">
        <f>IF(Dashboard!$H$19=TRUE, 12*IF(AA3&lt;=$A$20,$C$27, IF(ROUNDUP($A$20,0)=AA6, MOD($A$20,1)*$C$27, 0)),   IF(AA6=Dashboard!$H$3+1,INDEX(ResidualValue!$C$5:$AF$5,1,Dashboard!$H$3),0))</f>
        <v>0</v>
      </c>
      <c r="AB7">
        <f>IF(Dashboard!$H$19=TRUE, 12*IF(AB3&lt;=$A$20,$C$27, IF(ROUNDUP($A$20,0)=AB6, MOD($A$20,1)*$C$27, 0)),   IF(AB6=Dashboard!$H$3+1,INDEX(ResidualValue!$C$5:$AF$5,1,Dashboard!$H$3),0))</f>
        <v>0</v>
      </c>
      <c r="AC7">
        <f>IF(Dashboard!$H$19=TRUE, 12*IF(AC3&lt;=$A$20,$C$27, IF(ROUNDUP($A$20,0)=AC6, MOD($A$20,1)*$C$27, 0)),   IF(AC6=Dashboard!$H$3+1,INDEX(ResidualValue!$C$5:$AF$5,1,Dashboard!$H$3),0))</f>
        <v>0</v>
      </c>
      <c r="AD7">
        <f>IF(Dashboard!$H$19=TRUE, 12*IF(AD3&lt;=$A$20,$C$27, IF(ROUNDUP($A$20,0)=AD6, MOD($A$20,1)*$C$27, 0)),   IF(AD6=Dashboard!$H$3+1,INDEX(ResidualValue!$C$5:$AF$5,1,Dashboard!$H$3),0))</f>
        <v>0</v>
      </c>
      <c r="AE7">
        <f>IF(Dashboard!$H$19=TRUE, 12*IF(AE3&lt;=$A$20,$C$27, IF(ROUNDUP($A$20,0)=AE6, MOD($A$20,1)*$C$27, 0)),   IF(AE6=Dashboard!$H$3+1,INDEX(ResidualValue!$C$5:$AF$5,1,Dashboard!$H$3),0))</f>
        <v>0</v>
      </c>
      <c r="AF7">
        <f>IF(Dashboard!$H$19=TRUE, 12*IF(AF3&lt;=$A$20,$C$27, IF(ROUNDUP($A$20,0)=AF6, MOD($A$20,1)*$C$27, 0)),   IF(AF6=Dashboard!$H$3+1,INDEX(ResidualValue!$C$5:$AF$5,1,Dashboard!$H$3),0))</f>
        <v>0</v>
      </c>
    </row>
    <row r="8" spans="1:33" x14ac:dyDescent="0.45">
      <c r="A8" t="s">
        <v>172</v>
      </c>
      <c r="B8">
        <f>B7-B10</f>
        <v>0</v>
      </c>
      <c r="C8">
        <f ca="1">$A$14*$A$23*Dashboard!$H$19 +  Dashboard!$H$19*-1*( IFERROR(PPMT($A$17/12,12*(C3-1)+1,$A$20*12,$A$30),0) + IFERROR(PPMT($A$17/12,12*(C3-1)+2,$A$20*12,$A$30),0) + IFERROR(PPMT($A$17/12,12*(C3-1)+3,$A$20*12,$A$30),0) + IFERROR(PPMT($A$17/12,12*(C3-1)+4,$A$20*12,$A$30),0) + IFERROR(PPMT($A$17/12,12*(C3-1)+5,$A$20*12,$A$30),0) + IFERROR(PPMT($A$17/12,12*(C3-1)+6,$A$20*12,$A$30),0) + IFERROR(PPMT($A$17/12,12*(C3-1)+7,$A$20*12,$A$30),0) + IFERROR(PPMT($A$17/12,12*(C3-1)+8,$A$20*12,$A$30),0) + IFERROR(PPMT($A$17/12,12*(C3-1)+9,$A$20*12,$A$30),0) + IFERROR(PPMT($A$17/12,12*(C3-1)+10,$A$20*12,$A$30),0) + IFERROR(PPMT($A$17/12,12*(C3-1)+11,$A$20*12,$A$30),0) + IFERROR(PPMT($A$17/12,12*(C3-1)+12,$A$20*12,$A$30),0) )</f>
        <v>133349.16719517589</v>
      </c>
      <c r="D8">
        <f ca="1" xml:space="preserve"> -Dashboard!$H$19*( IFERROR(PPMT($A$17/12,12*(D3-1)+1,$A$20*12,$A$30),0) + IFERROR(PPMT($A$17/12,12*(D3-1)+2,$A$20*12,$A$30),0) + IFERROR(PPMT($A$17/12,12*(D3-1)+3,$A$20*12,$A$30),0) + IFERROR(PPMT($A$17/12,12*(D3-1)+4,$A$20*12,$A$30),0) + IFERROR(PPMT($A$17/12,12*(D3-1)+5,$A$20*12,$A$30),0) + IFERROR(PPMT($A$17/12,12*(D3-1)+6,$A$20*12,$A$30),0) + IFERROR(PPMT($A$17/12,12*(D3-1)+7,$A$20*12,$A$30),0) + IFERROR(PPMT($A$17/12,12*(D3-1)+8,$A$20*12,$A$30),0) + IFERROR(PPMT($A$17/12,12*(D3-1)+9,$A$20*12,$A$30),0) + IFERROR(PPMT($A$17/12,12*(D3-1)+10,$A$20*12,$A$30),0) + IFERROR(PPMT($A$17/12,12*(D3-1)+11,$A$20*12,$A$30),0) + IFERROR(PPMT($A$17/12,12*(D3-1)+12,$A$20*12,$A$30),0) )</f>
        <v>77937.283483787716</v>
      </c>
      <c r="E8">
        <f ca="1" xml:space="preserve"> -Dashboard!$H$19*( IFERROR(PPMT($A$17/12,12*(E3-1)+1,$A$20*12,$A$30),0) + IFERROR(PPMT($A$17/12,12*(E3-1)+2,$A$20*12,$A$30),0) + IFERROR(PPMT($A$17/12,12*(E3-1)+3,$A$20*12,$A$30),0) + IFERROR(PPMT($A$17/12,12*(E3-1)+4,$A$20*12,$A$30),0) + IFERROR(PPMT($A$17/12,12*(E3-1)+5,$A$20*12,$A$30),0) + IFERROR(PPMT($A$17/12,12*(E3-1)+6,$A$20*12,$A$30),0) + IFERROR(PPMT($A$17/12,12*(E3-1)+7,$A$20*12,$A$30),0) + IFERROR(PPMT($A$17/12,12*(E3-1)+8,$A$20*12,$A$30),0) + IFERROR(PPMT($A$17/12,12*(E3-1)+9,$A$20*12,$A$30),0) + IFERROR(PPMT($A$17/12,12*(E3-1)+10,$A$20*12,$A$30),0) + IFERROR(PPMT($A$17/12,12*(E3-1)+11,$A$20*12,$A$30),0) + IFERROR(PPMT($A$17/12,12*(E3-1)+12,$A$20*12,$A$30),0) )</f>
        <v>81112.568663894257</v>
      </c>
      <c r="F8">
        <f ca="1" xml:space="preserve"> -Dashboard!$H$19*( IFERROR(PPMT($A$17/12,12*(F3-1)+1,$A$20*12,$A$30),0) + IFERROR(PPMT($A$17/12,12*(F3-1)+2,$A$20*12,$A$30),0) + IFERROR(PPMT($A$17/12,12*(F3-1)+3,$A$20*12,$A$30),0) + IFERROR(PPMT($A$17/12,12*(F3-1)+4,$A$20*12,$A$30),0) + IFERROR(PPMT($A$17/12,12*(F3-1)+5,$A$20*12,$A$30),0) + IFERROR(PPMT($A$17/12,12*(F3-1)+6,$A$20*12,$A$30),0) + IFERROR(PPMT($A$17/12,12*(F3-1)+7,$A$20*12,$A$30),0) + IFERROR(PPMT($A$17/12,12*(F3-1)+8,$A$20*12,$A$30),0) + IFERROR(PPMT($A$17/12,12*(F3-1)+9,$A$20*12,$A$30),0) + IFERROR(PPMT($A$17/12,12*(F3-1)+10,$A$20*12,$A$30),0) + IFERROR(PPMT($A$17/12,12*(F3-1)+11,$A$20*12,$A$30),0) + IFERROR(PPMT($A$17/12,12*(F3-1)+12,$A$20*12,$A$30),0) )</f>
        <v>84417.219861448699</v>
      </c>
      <c r="G8">
        <f ca="1" xml:space="preserve"> -Dashboard!$H$19*( IFERROR(PPMT($A$17/12,12*(G3-1)+1,$A$20*12,$A$30),0) + IFERROR(PPMT($A$17/12,12*(G3-1)+2,$A$20*12,$A$30),0) + IFERROR(PPMT($A$17/12,12*(G3-1)+3,$A$20*12,$A$30),0) + IFERROR(PPMT($A$17/12,12*(G3-1)+4,$A$20*12,$A$30),0) + IFERROR(PPMT($A$17/12,12*(G3-1)+5,$A$20*12,$A$30),0) + IFERROR(PPMT($A$17/12,12*(G3-1)+6,$A$20*12,$A$30),0) + IFERROR(PPMT($A$17/12,12*(G3-1)+7,$A$20*12,$A$30),0) + IFERROR(PPMT($A$17/12,12*(G3-1)+8,$A$20*12,$A$30),0) + IFERROR(PPMT($A$17/12,12*(G3-1)+9,$A$20*12,$A$30),0) + IFERROR(PPMT($A$17/12,12*(G3-1)+10,$A$20*12,$A$30),0) + IFERROR(PPMT($A$17/12,12*(G3-1)+11,$A$20*12,$A$30),0) + IFERROR(PPMT($A$17/12,12*(G3-1)+12,$A$20*12,$A$30),0) )</f>
        <v>87856.507647603226</v>
      </c>
      <c r="H8">
        <f ca="1" xml:space="preserve"> -Dashboard!$H$19*( IFERROR(PPMT($A$17/12,12*(H3-1)+1,$A$20*12,$A$30),0) + IFERROR(PPMT($A$17/12,12*(H3-1)+2,$A$20*12,$A$30),0) + IFERROR(PPMT($A$17/12,12*(H3-1)+3,$A$20*12,$A$30),0) + IFERROR(PPMT($A$17/12,12*(H3-1)+4,$A$20*12,$A$30),0) + IFERROR(PPMT($A$17/12,12*(H3-1)+5,$A$20*12,$A$30),0) + IFERROR(PPMT($A$17/12,12*(H3-1)+6,$A$20*12,$A$30),0) + IFERROR(PPMT($A$17/12,12*(H3-1)+7,$A$20*12,$A$30),0) + IFERROR(PPMT($A$17/12,12*(H3-1)+8,$A$20*12,$A$30),0) + IFERROR(PPMT($A$17/12,12*(H3-1)+9,$A$20*12,$A$30),0) + IFERROR(PPMT($A$17/12,12*(H3-1)+10,$A$20*12,$A$30),0) + IFERROR(PPMT($A$17/12,12*(H3-1)+11,$A$20*12,$A$30),0) + IFERROR(PPMT($A$17/12,12*(H3-1)+12,$A$20*12,$A$30),0) )</f>
        <v>22517.812481465196</v>
      </c>
      <c r="I8">
        <f ca="1" xml:space="preserve"> -Dashboard!$H$19*( IFERROR(PPMT($A$17/12,12*(I3-1)+1,$A$20*12,$A$30),0) + IFERROR(PPMT($A$17/12,12*(I3-1)+2,$A$20*12,$A$30),0) + IFERROR(PPMT($A$17/12,12*(I3-1)+3,$A$20*12,$A$30),0) + IFERROR(PPMT($A$17/12,12*(I3-1)+4,$A$20*12,$A$30),0) + IFERROR(PPMT($A$17/12,12*(I3-1)+5,$A$20*12,$A$30),0) + IFERROR(PPMT($A$17/12,12*(I3-1)+6,$A$20*12,$A$30),0) + IFERROR(PPMT($A$17/12,12*(I3-1)+7,$A$20*12,$A$30),0) + IFERROR(PPMT($A$17/12,12*(I3-1)+8,$A$20*12,$A$30),0) + IFERROR(PPMT($A$17/12,12*(I3-1)+9,$A$20*12,$A$30),0) + IFERROR(PPMT($A$17/12,12*(I3-1)+10,$A$20*12,$A$30),0) + IFERROR(PPMT($A$17/12,12*(I3-1)+11,$A$20*12,$A$30),0) + IFERROR(PPMT($A$17/12,12*(I3-1)+12,$A$20*12,$A$30),0) )</f>
        <v>0</v>
      </c>
      <c r="J8">
        <f ca="1" xml:space="preserve"> -Dashboard!$H$19*( IFERROR(PPMT($A$17/12,12*(J3-1)+1,$A$20*12,$A$30),0) + IFERROR(PPMT($A$17/12,12*(J3-1)+2,$A$20*12,$A$30),0) + IFERROR(PPMT($A$17/12,12*(J3-1)+3,$A$20*12,$A$30),0) + IFERROR(PPMT($A$17/12,12*(J3-1)+4,$A$20*12,$A$30),0) + IFERROR(PPMT($A$17/12,12*(J3-1)+5,$A$20*12,$A$30),0) + IFERROR(PPMT($A$17/12,12*(J3-1)+6,$A$20*12,$A$30),0) + IFERROR(PPMT($A$17/12,12*(J3-1)+7,$A$20*12,$A$30),0) + IFERROR(PPMT($A$17/12,12*(J3-1)+8,$A$20*12,$A$30),0) + IFERROR(PPMT($A$17/12,12*(J3-1)+9,$A$20*12,$A$30),0) + IFERROR(PPMT($A$17/12,12*(J3-1)+10,$A$20*12,$A$30),0) + IFERROR(PPMT($A$17/12,12*(J3-1)+11,$A$20*12,$A$30),0) + IFERROR(PPMT($A$17/12,12*(J3-1)+12,$A$20*12,$A$30),0) )</f>
        <v>0</v>
      </c>
      <c r="K8">
        <f ca="1" xml:space="preserve"> -Dashboard!$H$19*( IFERROR(PPMT($A$17/12,12*(K3-1)+1,$A$20*12,$A$30),0) + IFERROR(PPMT($A$17/12,12*(K3-1)+2,$A$20*12,$A$30),0) + IFERROR(PPMT($A$17/12,12*(K3-1)+3,$A$20*12,$A$30),0) + IFERROR(PPMT($A$17/12,12*(K3-1)+4,$A$20*12,$A$30),0) + IFERROR(PPMT($A$17/12,12*(K3-1)+5,$A$20*12,$A$30),0) + IFERROR(PPMT($A$17/12,12*(K3-1)+6,$A$20*12,$A$30),0) + IFERROR(PPMT($A$17/12,12*(K3-1)+7,$A$20*12,$A$30),0) + IFERROR(PPMT($A$17/12,12*(K3-1)+8,$A$20*12,$A$30),0) + IFERROR(PPMT($A$17/12,12*(K3-1)+9,$A$20*12,$A$30),0) + IFERROR(PPMT($A$17/12,12*(K3-1)+10,$A$20*12,$A$30),0) + IFERROR(PPMT($A$17/12,12*(K3-1)+11,$A$20*12,$A$30),0) + IFERROR(PPMT($A$17/12,12*(K3-1)+12,$A$20*12,$A$30),0) )</f>
        <v>0</v>
      </c>
      <c r="L8">
        <f ca="1" xml:space="preserve"> -Dashboard!$H$19*( IFERROR(PPMT($A$17/12,12*(L3-1)+1,$A$20*12,$A$30),0) + IFERROR(PPMT($A$17/12,12*(L3-1)+2,$A$20*12,$A$30),0) + IFERROR(PPMT($A$17/12,12*(L3-1)+3,$A$20*12,$A$30),0) + IFERROR(PPMT($A$17/12,12*(L3-1)+4,$A$20*12,$A$30),0) + IFERROR(PPMT($A$17/12,12*(L3-1)+5,$A$20*12,$A$30),0) + IFERROR(PPMT($A$17/12,12*(L3-1)+6,$A$20*12,$A$30),0) + IFERROR(PPMT($A$17/12,12*(L3-1)+7,$A$20*12,$A$30),0) + IFERROR(PPMT($A$17/12,12*(L3-1)+8,$A$20*12,$A$30),0) + IFERROR(PPMT($A$17/12,12*(L3-1)+9,$A$20*12,$A$30),0) + IFERROR(PPMT($A$17/12,12*(L3-1)+10,$A$20*12,$A$30),0) + IFERROR(PPMT($A$17/12,12*(L3-1)+11,$A$20*12,$A$30),0) + IFERROR(PPMT($A$17/12,12*(L3-1)+12,$A$20*12,$A$30),0) )</f>
        <v>0</v>
      </c>
      <c r="M8">
        <f ca="1" xml:space="preserve"> -Dashboard!$H$19*( IFERROR(PPMT($A$17/12,12*(M3-1)+1,$A$20*12,$A$30),0) + IFERROR(PPMT($A$17/12,12*(M3-1)+2,$A$20*12,$A$30),0) + IFERROR(PPMT($A$17/12,12*(M3-1)+3,$A$20*12,$A$30),0) + IFERROR(PPMT($A$17/12,12*(M3-1)+4,$A$20*12,$A$30),0) + IFERROR(PPMT($A$17/12,12*(M3-1)+5,$A$20*12,$A$30),0) + IFERROR(PPMT($A$17/12,12*(M3-1)+6,$A$20*12,$A$30),0) + IFERROR(PPMT($A$17/12,12*(M3-1)+7,$A$20*12,$A$30),0) + IFERROR(PPMT($A$17/12,12*(M3-1)+8,$A$20*12,$A$30),0) + IFERROR(PPMT($A$17/12,12*(M3-1)+9,$A$20*12,$A$30),0) + IFERROR(PPMT($A$17/12,12*(M3-1)+10,$A$20*12,$A$30),0) + IFERROR(PPMT($A$17/12,12*(M3-1)+11,$A$20*12,$A$30),0) + IFERROR(PPMT($A$17/12,12*(M3-1)+12,$A$20*12,$A$30),0) )</f>
        <v>0</v>
      </c>
      <c r="N8">
        <f ca="1" xml:space="preserve"> -Dashboard!$H$19*( IFERROR(PPMT($A$17/12,12*(N3-1)+1,$A$20*12,$A$30),0) + IFERROR(PPMT($A$17/12,12*(N3-1)+2,$A$20*12,$A$30),0) + IFERROR(PPMT($A$17/12,12*(N3-1)+3,$A$20*12,$A$30),0) + IFERROR(PPMT($A$17/12,12*(N3-1)+4,$A$20*12,$A$30),0) + IFERROR(PPMT($A$17/12,12*(N3-1)+5,$A$20*12,$A$30),0) + IFERROR(PPMT($A$17/12,12*(N3-1)+6,$A$20*12,$A$30),0) + IFERROR(PPMT($A$17/12,12*(N3-1)+7,$A$20*12,$A$30),0) + IFERROR(PPMT($A$17/12,12*(N3-1)+8,$A$20*12,$A$30),0) + IFERROR(PPMT($A$17/12,12*(N3-1)+9,$A$20*12,$A$30),0) + IFERROR(PPMT($A$17/12,12*(N3-1)+10,$A$20*12,$A$30),0) + IFERROR(PPMT($A$17/12,12*(N3-1)+11,$A$20*12,$A$30),0) + IFERROR(PPMT($A$17/12,12*(N3-1)+12,$A$20*12,$A$30),0) )</f>
        <v>0</v>
      </c>
      <c r="O8">
        <f ca="1" xml:space="preserve"> -Dashboard!$H$19*( IFERROR(PPMT($A$17/12,12*(O3-1)+1,$A$20*12,$A$30),0) + IFERROR(PPMT($A$17/12,12*(O3-1)+2,$A$20*12,$A$30),0) + IFERROR(PPMT($A$17/12,12*(O3-1)+3,$A$20*12,$A$30),0) + IFERROR(PPMT($A$17/12,12*(O3-1)+4,$A$20*12,$A$30),0) + IFERROR(PPMT($A$17/12,12*(O3-1)+5,$A$20*12,$A$30),0) + IFERROR(PPMT($A$17/12,12*(O3-1)+6,$A$20*12,$A$30),0) + IFERROR(PPMT($A$17/12,12*(O3-1)+7,$A$20*12,$A$30),0) + IFERROR(PPMT($A$17/12,12*(O3-1)+8,$A$20*12,$A$30),0) + IFERROR(PPMT($A$17/12,12*(O3-1)+9,$A$20*12,$A$30),0) + IFERROR(PPMT($A$17/12,12*(O3-1)+10,$A$20*12,$A$30),0) + IFERROR(PPMT($A$17/12,12*(O3-1)+11,$A$20*12,$A$30),0) + IFERROR(PPMT($A$17/12,12*(O3-1)+12,$A$20*12,$A$30),0) )</f>
        <v>0</v>
      </c>
      <c r="P8">
        <f ca="1" xml:space="preserve"> -Dashboard!$H$19*( IFERROR(PPMT($A$17/12,12*(P3-1)+1,$A$20*12,$A$30),0) + IFERROR(PPMT($A$17/12,12*(P3-1)+2,$A$20*12,$A$30),0) + IFERROR(PPMT($A$17/12,12*(P3-1)+3,$A$20*12,$A$30),0) + IFERROR(PPMT($A$17/12,12*(P3-1)+4,$A$20*12,$A$30),0) + IFERROR(PPMT($A$17/12,12*(P3-1)+5,$A$20*12,$A$30),0) + IFERROR(PPMT($A$17/12,12*(P3-1)+6,$A$20*12,$A$30),0) + IFERROR(PPMT($A$17/12,12*(P3-1)+7,$A$20*12,$A$30),0) + IFERROR(PPMT($A$17/12,12*(P3-1)+8,$A$20*12,$A$30),0) + IFERROR(PPMT($A$17/12,12*(P3-1)+9,$A$20*12,$A$30),0) + IFERROR(PPMT($A$17/12,12*(P3-1)+10,$A$20*12,$A$30),0) + IFERROR(PPMT($A$17/12,12*(P3-1)+11,$A$20*12,$A$30),0) + IFERROR(PPMT($A$17/12,12*(P3-1)+12,$A$20*12,$A$30),0) )</f>
        <v>0</v>
      </c>
      <c r="Q8">
        <f ca="1" xml:space="preserve"> -Dashboard!$H$19*( IFERROR(PPMT($A$17/12,12*(Q3-1)+1,$A$20*12,$A$30),0) + IFERROR(PPMT($A$17/12,12*(Q3-1)+2,$A$20*12,$A$30),0) + IFERROR(PPMT($A$17/12,12*(Q3-1)+3,$A$20*12,$A$30),0) + IFERROR(PPMT($A$17/12,12*(Q3-1)+4,$A$20*12,$A$30),0) + IFERROR(PPMT($A$17/12,12*(Q3-1)+5,$A$20*12,$A$30),0) + IFERROR(PPMT($A$17/12,12*(Q3-1)+6,$A$20*12,$A$30),0) + IFERROR(PPMT($A$17/12,12*(Q3-1)+7,$A$20*12,$A$30),0) + IFERROR(PPMT($A$17/12,12*(Q3-1)+8,$A$20*12,$A$30),0) + IFERROR(PPMT($A$17/12,12*(Q3-1)+9,$A$20*12,$A$30),0) + IFERROR(PPMT($A$17/12,12*(Q3-1)+10,$A$20*12,$A$30),0) + IFERROR(PPMT($A$17/12,12*(Q3-1)+11,$A$20*12,$A$30),0) + IFERROR(PPMT($A$17/12,12*(Q3-1)+12,$A$20*12,$A$30),0) )</f>
        <v>0</v>
      </c>
      <c r="R8">
        <f ca="1" xml:space="preserve"> -Dashboard!$H$19*( IFERROR(PPMT($A$17/12,12*(R3-1)+1,$A$20*12,$A$30),0) + IFERROR(PPMT($A$17/12,12*(R3-1)+2,$A$20*12,$A$30),0) + IFERROR(PPMT($A$17/12,12*(R3-1)+3,$A$20*12,$A$30),0) + IFERROR(PPMT($A$17/12,12*(R3-1)+4,$A$20*12,$A$30),0) + IFERROR(PPMT($A$17/12,12*(R3-1)+5,$A$20*12,$A$30),0) + IFERROR(PPMT($A$17/12,12*(R3-1)+6,$A$20*12,$A$30),0) + IFERROR(PPMT($A$17/12,12*(R3-1)+7,$A$20*12,$A$30),0) + IFERROR(PPMT($A$17/12,12*(R3-1)+8,$A$20*12,$A$30),0) + IFERROR(PPMT($A$17/12,12*(R3-1)+9,$A$20*12,$A$30),0) + IFERROR(PPMT($A$17/12,12*(R3-1)+10,$A$20*12,$A$30),0) + IFERROR(PPMT($A$17/12,12*(R3-1)+11,$A$20*12,$A$30),0) + IFERROR(PPMT($A$17/12,12*(R3-1)+12,$A$20*12,$A$30),0) )</f>
        <v>0</v>
      </c>
      <c r="S8">
        <f ca="1" xml:space="preserve"> -Dashboard!$H$19*( IFERROR(PPMT($A$17/12,12*(S3-1)+1,$A$20*12,$A$30),0) + IFERROR(PPMT($A$17/12,12*(S3-1)+2,$A$20*12,$A$30),0) + IFERROR(PPMT($A$17/12,12*(S3-1)+3,$A$20*12,$A$30),0) + IFERROR(PPMT($A$17/12,12*(S3-1)+4,$A$20*12,$A$30),0) + IFERROR(PPMT($A$17/12,12*(S3-1)+5,$A$20*12,$A$30),0) + IFERROR(PPMT($A$17/12,12*(S3-1)+6,$A$20*12,$A$30),0) + IFERROR(PPMT($A$17/12,12*(S3-1)+7,$A$20*12,$A$30),0) + IFERROR(PPMT($A$17/12,12*(S3-1)+8,$A$20*12,$A$30),0) + IFERROR(PPMT($A$17/12,12*(S3-1)+9,$A$20*12,$A$30),0) + IFERROR(PPMT($A$17/12,12*(S3-1)+10,$A$20*12,$A$30),0) + IFERROR(PPMT($A$17/12,12*(S3-1)+11,$A$20*12,$A$30),0) + IFERROR(PPMT($A$17/12,12*(S3-1)+12,$A$20*12,$A$30),0) )</f>
        <v>0</v>
      </c>
      <c r="T8">
        <f ca="1" xml:space="preserve"> -Dashboard!$H$19*( IFERROR(PPMT($A$17/12,12*(T3-1)+1,$A$20*12,$A$30),0) + IFERROR(PPMT($A$17/12,12*(T3-1)+2,$A$20*12,$A$30),0) + IFERROR(PPMT($A$17/12,12*(T3-1)+3,$A$20*12,$A$30),0) + IFERROR(PPMT($A$17/12,12*(T3-1)+4,$A$20*12,$A$30),0) + IFERROR(PPMT($A$17/12,12*(T3-1)+5,$A$20*12,$A$30),0) + IFERROR(PPMT($A$17/12,12*(T3-1)+6,$A$20*12,$A$30),0) + IFERROR(PPMT($A$17/12,12*(T3-1)+7,$A$20*12,$A$30),0) + IFERROR(PPMT($A$17/12,12*(T3-1)+8,$A$20*12,$A$30),0) + IFERROR(PPMT($A$17/12,12*(T3-1)+9,$A$20*12,$A$30),0) + IFERROR(PPMT($A$17/12,12*(T3-1)+10,$A$20*12,$A$30),0) + IFERROR(PPMT($A$17/12,12*(T3-1)+11,$A$20*12,$A$30),0) + IFERROR(PPMT($A$17/12,12*(T3-1)+12,$A$20*12,$A$30),0) )</f>
        <v>0</v>
      </c>
      <c r="U8">
        <f ca="1" xml:space="preserve"> -Dashboard!$H$19*( IFERROR(PPMT($A$17/12,12*(U3-1)+1,$A$20*12,$A$30),0) + IFERROR(PPMT($A$17/12,12*(U3-1)+2,$A$20*12,$A$30),0) + IFERROR(PPMT($A$17/12,12*(U3-1)+3,$A$20*12,$A$30),0) + IFERROR(PPMT($A$17/12,12*(U3-1)+4,$A$20*12,$A$30),0) + IFERROR(PPMT($A$17/12,12*(U3-1)+5,$A$20*12,$A$30),0) + IFERROR(PPMT($A$17/12,12*(U3-1)+6,$A$20*12,$A$30),0) + IFERROR(PPMT($A$17/12,12*(U3-1)+7,$A$20*12,$A$30),0) + IFERROR(PPMT($A$17/12,12*(U3-1)+8,$A$20*12,$A$30),0) + IFERROR(PPMT($A$17/12,12*(U3-1)+9,$A$20*12,$A$30),0) + IFERROR(PPMT($A$17/12,12*(U3-1)+10,$A$20*12,$A$30),0) + IFERROR(PPMT($A$17/12,12*(U3-1)+11,$A$20*12,$A$30),0) + IFERROR(PPMT($A$17/12,12*(U3-1)+12,$A$20*12,$A$30),0) )</f>
        <v>0</v>
      </c>
      <c r="V8">
        <f ca="1" xml:space="preserve"> -Dashboard!$H$19*( IFERROR(PPMT($A$17/12,12*(V3-1)+1,$A$20*12,$A$30),0) + IFERROR(PPMT($A$17/12,12*(V3-1)+2,$A$20*12,$A$30),0) + IFERROR(PPMT($A$17/12,12*(V3-1)+3,$A$20*12,$A$30),0) + IFERROR(PPMT($A$17/12,12*(V3-1)+4,$A$20*12,$A$30),0) + IFERROR(PPMT($A$17/12,12*(V3-1)+5,$A$20*12,$A$30),0) + IFERROR(PPMT($A$17/12,12*(V3-1)+6,$A$20*12,$A$30),0) + IFERROR(PPMT($A$17/12,12*(V3-1)+7,$A$20*12,$A$30),0) + IFERROR(PPMT($A$17/12,12*(V3-1)+8,$A$20*12,$A$30),0) + IFERROR(PPMT($A$17/12,12*(V3-1)+9,$A$20*12,$A$30),0) + IFERROR(PPMT($A$17/12,12*(V3-1)+10,$A$20*12,$A$30),0) + IFERROR(PPMT($A$17/12,12*(V3-1)+11,$A$20*12,$A$30),0) + IFERROR(PPMT($A$17/12,12*(V3-1)+12,$A$20*12,$A$30),0) )</f>
        <v>0</v>
      </c>
      <c r="W8">
        <f ca="1" xml:space="preserve"> -Dashboard!$H$19*( IFERROR(PPMT($A$17/12,12*(W3-1)+1,$A$20*12,$A$30),0) + IFERROR(PPMT($A$17/12,12*(W3-1)+2,$A$20*12,$A$30),0) + IFERROR(PPMT($A$17/12,12*(W3-1)+3,$A$20*12,$A$30),0) + IFERROR(PPMT($A$17/12,12*(W3-1)+4,$A$20*12,$A$30),0) + IFERROR(PPMT($A$17/12,12*(W3-1)+5,$A$20*12,$A$30),0) + IFERROR(PPMT($A$17/12,12*(W3-1)+6,$A$20*12,$A$30),0) + IFERROR(PPMT($A$17/12,12*(W3-1)+7,$A$20*12,$A$30),0) + IFERROR(PPMT($A$17/12,12*(W3-1)+8,$A$20*12,$A$30),0) + IFERROR(PPMT($A$17/12,12*(W3-1)+9,$A$20*12,$A$30),0) + IFERROR(PPMT($A$17/12,12*(W3-1)+10,$A$20*12,$A$30),0) + IFERROR(PPMT($A$17/12,12*(W3-1)+11,$A$20*12,$A$30),0) + IFERROR(PPMT($A$17/12,12*(W3-1)+12,$A$20*12,$A$30),0) )</f>
        <v>0</v>
      </c>
      <c r="X8">
        <f ca="1" xml:space="preserve"> -Dashboard!$H$19*( IFERROR(PPMT($A$17/12,12*(X3-1)+1,$A$20*12,$A$30),0) + IFERROR(PPMT($A$17/12,12*(X3-1)+2,$A$20*12,$A$30),0) + IFERROR(PPMT($A$17/12,12*(X3-1)+3,$A$20*12,$A$30),0) + IFERROR(PPMT($A$17/12,12*(X3-1)+4,$A$20*12,$A$30),0) + IFERROR(PPMT($A$17/12,12*(X3-1)+5,$A$20*12,$A$30),0) + IFERROR(PPMT($A$17/12,12*(X3-1)+6,$A$20*12,$A$30),0) + IFERROR(PPMT($A$17/12,12*(X3-1)+7,$A$20*12,$A$30),0) + IFERROR(PPMT($A$17/12,12*(X3-1)+8,$A$20*12,$A$30),0) + IFERROR(PPMT($A$17/12,12*(X3-1)+9,$A$20*12,$A$30),0) + IFERROR(PPMT($A$17/12,12*(X3-1)+10,$A$20*12,$A$30),0) + IFERROR(PPMT($A$17/12,12*(X3-1)+11,$A$20*12,$A$30),0) + IFERROR(PPMT($A$17/12,12*(X3-1)+12,$A$20*12,$A$30),0) )</f>
        <v>0</v>
      </c>
      <c r="Y8">
        <f ca="1" xml:space="preserve"> -Dashboard!$H$19*( IFERROR(PPMT($A$17/12,12*(Y3-1)+1,$A$20*12,$A$30),0) + IFERROR(PPMT($A$17/12,12*(Y3-1)+2,$A$20*12,$A$30),0) + IFERROR(PPMT($A$17/12,12*(Y3-1)+3,$A$20*12,$A$30),0) + IFERROR(PPMT($A$17/12,12*(Y3-1)+4,$A$20*12,$A$30),0) + IFERROR(PPMT($A$17/12,12*(Y3-1)+5,$A$20*12,$A$30),0) + IFERROR(PPMT($A$17/12,12*(Y3-1)+6,$A$20*12,$A$30),0) + IFERROR(PPMT($A$17/12,12*(Y3-1)+7,$A$20*12,$A$30),0) + IFERROR(PPMT($A$17/12,12*(Y3-1)+8,$A$20*12,$A$30),0) + IFERROR(PPMT($A$17/12,12*(Y3-1)+9,$A$20*12,$A$30),0) + IFERROR(PPMT($A$17/12,12*(Y3-1)+10,$A$20*12,$A$30),0) + IFERROR(PPMT($A$17/12,12*(Y3-1)+11,$A$20*12,$A$30),0) + IFERROR(PPMT($A$17/12,12*(Y3-1)+12,$A$20*12,$A$30),0) )</f>
        <v>0</v>
      </c>
      <c r="Z8">
        <f ca="1" xml:space="preserve"> -Dashboard!$H$19*( IFERROR(PPMT($A$17/12,12*(Z3-1)+1,$A$20*12,$A$30),0) + IFERROR(PPMT($A$17/12,12*(Z3-1)+2,$A$20*12,$A$30),0) + IFERROR(PPMT($A$17/12,12*(Z3-1)+3,$A$20*12,$A$30),0) + IFERROR(PPMT($A$17/12,12*(Z3-1)+4,$A$20*12,$A$30),0) + IFERROR(PPMT($A$17/12,12*(Z3-1)+5,$A$20*12,$A$30),0) + IFERROR(PPMT($A$17/12,12*(Z3-1)+6,$A$20*12,$A$30),0) + IFERROR(PPMT($A$17/12,12*(Z3-1)+7,$A$20*12,$A$30),0) + IFERROR(PPMT($A$17/12,12*(Z3-1)+8,$A$20*12,$A$30),0) + IFERROR(PPMT($A$17/12,12*(Z3-1)+9,$A$20*12,$A$30),0) + IFERROR(PPMT($A$17/12,12*(Z3-1)+10,$A$20*12,$A$30),0) + IFERROR(PPMT($A$17/12,12*(Z3-1)+11,$A$20*12,$A$30),0) + IFERROR(PPMT($A$17/12,12*(Z3-1)+12,$A$20*12,$A$30),0) )</f>
        <v>0</v>
      </c>
      <c r="AA8">
        <f ca="1" xml:space="preserve"> -Dashboard!$H$19*( IFERROR(PPMT($A$17/12,12*(AA3-1)+1,$A$20*12,$A$30),0) + IFERROR(PPMT($A$17/12,12*(AA3-1)+2,$A$20*12,$A$30),0) + IFERROR(PPMT($A$17/12,12*(AA3-1)+3,$A$20*12,$A$30),0) + IFERROR(PPMT($A$17/12,12*(AA3-1)+4,$A$20*12,$A$30),0) + IFERROR(PPMT($A$17/12,12*(AA3-1)+5,$A$20*12,$A$30),0) + IFERROR(PPMT($A$17/12,12*(AA3-1)+6,$A$20*12,$A$30),0) + IFERROR(PPMT($A$17/12,12*(AA3-1)+7,$A$20*12,$A$30),0) + IFERROR(PPMT($A$17/12,12*(AA3-1)+8,$A$20*12,$A$30),0) + IFERROR(PPMT($A$17/12,12*(AA3-1)+9,$A$20*12,$A$30),0) + IFERROR(PPMT($A$17/12,12*(AA3-1)+10,$A$20*12,$A$30),0) + IFERROR(PPMT($A$17/12,12*(AA3-1)+11,$A$20*12,$A$30),0) + IFERROR(PPMT($A$17/12,12*(AA3-1)+12,$A$20*12,$A$30),0) )</f>
        <v>0</v>
      </c>
      <c r="AB8">
        <f ca="1" xml:space="preserve"> -Dashboard!$H$19*( IFERROR(PPMT($A$17/12,12*(AB3-1)+1,$A$20*12,$A$30),0) + IFERROR(PPMT($A$17/12,12*(AB3-1)+2,$A$20*12,$A$30),0) + IFERROR(PPMT($A$17/12,12*(AB3-1)+3,$A$20*12,$A$30),0) + IFERROR(PPMT($A$17/12,12*(AB3-1)+4,$A$20*12,$A$30),0) + IFERROR(PPMT($A$17/12,12*(AB3-1)+5,$A$20*12,$A$30),0) + IFERROR(PPMT($A$17/12,12*(AB3-1)+6,$A$20*12,$A$30),0) + IFERROR(PPMT($A$17/12,12*(AB3-1)+7,$A$20*12,$A$30),0) + IFERROR(PPMT($A$17/12,12*(AB3-1)+8,$A$20*12,$A$30),0) + IFERROR(PPMT($A$17/12,12*(AB3-1)+9,$A$20*12,$A$30),0) + IFERROR(PPMT($A$17/12,12*(AB3-1)+10,$A$20*12,$A$30),0) + IFERROR(PPMT($A$17/12,12*(AB3-1)+11,$A$20*12,$A$30),0) + IFERROR(PPMT($A$17/12,12*(AB3-1)+12,$A$20*12,$A$30),0) )</f>
        <v>0</v>
      </c>
      <c r="AC8">
        <f ca="1" xml:space="preserve"> -Dashboard!$H$19*( IFERROR(PPMT($A$17/12,12*(AC3-1)+1,$A$20*12,$A$30),0) + IFERROR(PPMT($A$17/12,12*(AC3-1)+2,$A$20*12,$A$30),0) + IFERROR(PPMT($A$17/12,12*(AC3-1)+3,$A$20*12,$A$30),0) + IFERROR(PPMT($A$17/12,12*(AC3-1)+4,$A$20*12,$A$30),0) + IFERROR(PPMT($A$17/12,12*(AC3-1)+5,$A$20*12,$A$30),0) + IFERROR(PPMT($A$17/12,12*(AC3-1)+6,$A$20*12,$A$30),0) + IFERROR(PPMT($A$17/12,12*(AC3-1)+7,$A$20*12,$A$30),0) + IFERROR(PPMT($A$17/12,12*(AC3-1)+8,$A$20*12,$A$30),0) + IFERROR(PPMT($A$17/12,12*(AC3-1)+9,$A$20*12,$A$30),0) + IFERROR(PPMT($A$17/12,12*(AC3-1)+10,$A$20*12,$A$30),0) + IFERROR(PPMT($A$17/12,12*(AC3-1)+11,$A$20*12,$A$30),0) + IFERROR(PPMT($A$17/12,12*(AC3-1)+12,$A$20*12,$A$30),0) )</f>
        <v>0</v>
      </c>
      <c r="AD8">
        <f ca="1" xml:space="preserve"> -Dashboard!$H$19*( IFERROR(PPMT($A$17/12,12*(AD3-1)+1,$A$20*12,$A$30),0) + IFERROR(PPMT($A$17/12,12*(AD3-1)+2,$A$20*12,$A$30),0) + IFERROR(PPMT($A$17/12,12*(AD3-1)+3,$A$20*12,$A$30),0) + IFERROR(PPMT($A$17/12,12*(AD3-1)+4,$A$20*12,$A$30),0) + IFERROR(PPMT($A$17/12,12*(AD3-1)+5,$A$20*12,$A$30),0) + IFERROR(PPMT($A$17/12,12*(AD3-1)+6,$A$20*12,$A$30),0) + IFERROR(PPMT($A$17/12,12*(AD3-1)+7,$A$20*12,$A$30),0) + IFERROR(PPMT($A$17/12,12*(AD3-1)+8,$A$20*12,$A$30),0) + IFERROR(PPMT($A$17/12,12*(AD3-1)+9,$A$20*12,$A$30),0) + IFERROR(PPMT($A$17/12,12*(AD3-1)+10,$A$20*12,$A$30),0) + IFERROR(PPMT($A$17/12,12*(AD3-1)+11,$A$20*12,$A$30),0) + IFERROR(PPMT($A$17/12,12*(AD3-1)+12,$A$20*12,$A$30),0) )</f>
        <v>0</v>
      </c>
      <c r="AE8">
        <f ca="1" xml:space="preserve"> -Dashboard!$H$19*( IFERROR(PPMT($A$17/12,12*(AE3-1)+1,$A$20*12,$A$30),0) + IFERROR(PPMT($A$17/12,12*(AE3-1)+2,$A$20*12,$A$30),0) + IFERROR(PPMT($A$17/12,12*(AE3-1)+3,$A$20*12,$A$30),0) + IFERROR(PPMT($A$17/12,12*(AE3-1)+4,$A$20*12,$A$30),0) + IFERROR(PPMT($A$17/12,12*(AE3-1)+5,$A$20*12,$A$30),0) + IFERROR(PPMT($A$17/12,12*(AE3-1)+6,$A$20*12,$A$30),0) + IFERROR(PPMT($A$17/12,12*(AE3-1)+7,$A$20*12,$A$30),0) + IFERROR(PPMT($A$17/12,12*(AE3-1)+8,$A$20*12,$A$30),0) + IFERROR(PPMT($A$17/12,12*(AE3-1)+9,$A$20*12,$A$30),0) + IFERROR(PPMT($A$17/12,12*(AE3-1)+10,$A$20*12,$A$30),0) + IFERROR(PPMT($A$17/12,12*(AE3-1)+11,$A$20*12,$A$30),0) + IFERROR(PPMT($A$17/12,12*(AE3-1)+12,$A$20*12,$A$30),0) )</f>
        <v>0</v>
      </c>
      <c r="AF8">
        <f ca="1" xml:space="preserve"> -Dashboard!$H$19*( IFERROR(PPMT($A$17/12,12*(AF3-1)+1,$A$20*12,$A$30),0) + IFERROR(PPMT($A$17/12,12*(AF3-1)+2,$A$20*12,$A$30),0) + IFERROR(PPMT($A$17/12,12*(AF3-1)+3,$A$20*12,$A$30),0) + IFERROR(PPMT($A$17/12,12*(AF3-1)+4,$A$20*12,$A$30),0) + IFERROR(PPMT($A$17/12,12*(AF3-1)+5,$A$20*12,$A$30),0) + IFERROR(PPMT($A$17/12,12*(AF3-1)+6,$A$20*12,$A$30),0) + IFERROR(PPMT($A$17/12,12*(AF3-1)+7,$A$20*12,$A$30),0) + IFERROR(PPMT($A$17/12,12*(AF3-1)+8,$A$20*12,$A$30),0) + IFERROR(PPMT($A$17/12,12*(AF3-1)+9,$A$20*12,$A$30),0) + IFERROR(PPMT($A$17/12,12*(AF3-1)+10,$A$20*12,$A$30),0) + IFERROR(PPMT($A$17/12,12*(AF3-1)+11,$A$20*12,$A$30),0) + IFERROR(PPMT($A$17/12,12*(AF3-1)+12,$A$20*12,$A$30),0) )</f>
        <v>0</v>
      </c>
    </row>
    <row r="9" spans="1:33" x14ac:dyDescent="0.45">
      <c r="A9" t="s">
        <v>90</v>
      </c>
      <c r="B9">
        <v>0</v>
      </c>
      <c r="C9">
        <f ca="1" xml:space="preserve"> IF(AND(C3&lt;=$A$20, Dashboard!$H$19=TRUE),  A30,  0)</f>
        <v>428727.69221337</v>
      </c>
      <c r="D9">
        <f ca="1">C9-C8 + A27</f>
        <v>353841.39213819912</v>
      </c>
      <c r="E9">
        <f t="shared" ref="E9:AF9" ca="1" si="1">D9-D8</f>
        <v>275904.10865441139</v>
      </c>
      <c r="F9">
        <f t="shared" ca="1" si="1"/>
        <v>194791.53999051714</v>
      </c>
      <c r="G9">
        <f t="shared" ca="1" si="1"/>
        <v>110374.32012906844</v>
      </c>
      <c r="H9">
        <f t="shared" ca="1" si="1"/>
        <v>22517.812481465211</v>
      </c>
      <c r="I9">
        <f t="shared" ca="1" si="1"/>
        <v>0</v>
      </c>
      <c r="J9">
        <f t="shared" ca="1" si="1"/>
        <v>0</v>
      </c>
      <c r="K9">
        <f t="shared" ca="1" si="1"/>
        <v>0</v>
      </c>
      <c r="L9">
        <f t="shared" ca="1" si="1"/>
        <v>0</v>
      </c>
      <c r="M9">
        <f t="shared" ca="1" si="1"/>
        <v>0</v>
      </c>
      <c r="N9">
        <f t="shared" ca="1" si="1"/>
        <v>0</v>
      </c>
      <c r="O9">
        <f t="shared" ca="1" si="1"/>
        <v>0</v>
      </c>
      <c r="P9">
        <f t="shared" ca="1" si="1"/>
        <v>0</v>
      </c>
      <c r="Q9">
        <f t="shared" ca="1" si="1"/>
        <v>0</v>
      </c>
      <c r="R9">
        <f t="shared" ca="1" si="1"/>
        <v>0</v>
      </c>
      <c r="S9">
        <f t="shared" ca="1" si="1"/>
        <v>0</v>
      </c>
      <c r="T9">
        <f t="shared" ca="1" si="1"/>
        <v>0</v>
      </c>
      <c r="U9">
        <f t="shared" ca="1" si="1"/>
        <v>0</v>
      </c>
      <c r="V9">
        <f t="shared" ca="1" si="1"/>
        <v>0</v>
      </c>
      <c r="W9">
        <f t="shared" ca="1" si="1"/>
        <v>0</v>
      </c>
      <c r="X9">
        <f t="shared" ca="1" si="1"/>
        <v>0</v>
      </c>
      <c r="Y9">
        <f t="shared" ca="1" si="1"/>
        <v>0</v>
      </c>
      <c r="Z9">
        <f t="shared" ca="1" si="1"/>
        <v>0</v>
      </c>
      <c r="AA9">
        <f t="shared" ca="1" si="1"/>
        <v>0</v>
      </c>
      <c r="AB9">
        <f t="shared" ca="1" si="1"/>
        <v>0</v>
      </c>
      <c r="AC9">
        <f t="shared" ca="1" si="1"/>
        <v>0</v>
      </c>
      <c r="AD9">
        <f t="shared" ca="1" si="1"/>
        <v>0</v>
      </c>
      <c r="AE9">
        <f t="shared" ca="1" si="1"/>
        <v>0</v>
      </c>
      <c r="AF9">
        <f t="shared" ca="1" si="1"/>
        <v>0</v>
      </c>
    </row>
    <row r="10" spans="1:33" x14ac:dyDescent="0.45">
      <c r="A10" t="s">
        <v>38</v>
      </c>
      <c r="B10">
        <v>0</v>
      </c>
      <c r="C10">
        <f ca="1">(C7-C8) * Dashboard!$H$19</f>
        <v>15786.090933882107</v>
      </c>
      <c r="D10">
        <f ca="1">(D7-D8) * Dashboard!$H$19</f>
        <v>12735.107525265281</v>
      </c>
      <c r="E10">
        <f ca="1">(E7-E8) * Dashboard!$H$19</f>
        <v>9559.8223451587401</v>
      </c>
      <c r="F10">
        <f ca="1">(F7-F8) * Dashboard!$H$19</f>
        <v>6255.1711476042983</v>
      </c>
      <c r="G10">
        <f ca="1">(G7-G8) * Dashboard!$H$19</f>
        <v>2815.8833614497707</v>
      </c>
      <c r="H10">
        <f ca="1">(H7-H8) * Dashboard!$H$19</f>
        <v>150.28527079805281</v>
      </c>
      <c r="I10">
        <f ca="1">(I7-I8) * Dashboard!$H$19</f>
        <v>0</v>
      </c>
      <c r="J10">
        <f ca="1">(J7-J8) * Dashboard!$H$19</f>
        <v>0</v>
      </c>
      <c r="K10">
        <f ca="1">(K7-K8) * Dashboard!$H$19</f>
        <v>0</v>
      </c>
      <c r="L10">
        <f ca="1">(L7-L8) * Dashboard!$H$19</f>
        <v>0</v>
      </c>
      <c r="M10">
        <f ca="1">(M7-M8) * Dashboard!$H$19</f>
        <v>0</v>
      </c>
      <c r="N10">
        <f ca="1">(N7-N8) * Dashboard!$H$19</f>
        <v>0</v>
      </c>
      <c r="O10">
        <f ca="1">(O7-O8) * Dashboard!$H$19</f>
        <v>0</v>
      </c>
      <c r="P10">
        <f ca="1">(P7-P8) * Dashboard!$H$19</f>
        <v>0</v>
      </c>
      <c r="Q10">
        <f ca="1">(Q7-Q8) * Dashboard!$H$19</f>
        <v>0</v>
      </c>
      <c r="R10">
        <f ca="1">(R7-R8) * Dashboard!$H$19</f>
        <v>0</v>
      </c>
      <c r="S10">
        <f ca="1">(S7-S8) * Dashboard!$H$19</f>
        <v>0</v>
      </c>
      <c r="T10">
        <f ca="1">(T7-T8) * Dashboard!$H$19</f>
        <v>0</v>
      </c>
      <c r="U10">
        <f ca="1">(U7-U8) * Dashboard!$H$19</f>
        <v>0</v>
      </c>
      <c r="V10">
        <f ca="1">(V7-V8) * Dashboard!$H$19</f>
        <v>0</v>
      </c>
      <c r="W10">
        <f ca="1">(W7-W8) * Dashboard!$H$19</f>
        <v>0</v>
      </c>
      <c r="X10">
        <f ca="1">(X7-X8) * Dashboard!$H$19</f>
        <v>0</v>
      </c>
      <c r="Y10">
        <f ca="1">(Y7-Y8) * Dashboard!$H$19</f>
        <v>0</v>
      </c>
      <c r="Z10">
        <f ca="1">(Z7-Z8) * Dashboard!$H$19</f>
        <v>0</v>
      </c>
      <c r="AA10">
        <f ca="1">(AA7-AA8) * Dashboard!$H$19</f>
        <v>0</v>
      </c>
      <c r="AB10">
        <f ca="1">(AB7-AB8) * Dashboard!$H$19</f>
        <v>0</v>
      </c>
      <c r="AC10">
        <f ca="1">(AC7-AC8) * Dashboard!$H$19</f>
        <v>0</v>
      </c>
      <c r="AD10">
        <f ca="1">(AD7-AD8) * Dashboard!$H$19</f>
        <v>0</v>
      </c>
      <c r="AE10">
        <f ca="1">(AE7-AE8) * Dashboard!$H$19</f>
        <v>0</v>
      </c>
      <c r="AF10">
        <f ca="1">(AF7-AF8) * Dashboard!$H$19</f>
        <v>0</v>
      </c>
    </row>
    <row r="11" spans="1:33" x14ac:dyDescent="0.45">
      <c r="C11" s="26"/>
    </row>
    <row r="13" spans="1:33" x14ac:dyDescent="0.45">
      <c r="A13" t="s">
        <v>24</v>
      </c>
      <c r="C13" t="s">
        <v>223</v>
      </c>
      <c r="G13" t="s">
        <v>151</v>
      </c>
      <c r="J13" t="s">
        <v>197</v>
      </c>
      <c r="M13" t="s">
        <v>97</v>
      </c>
      <c r="Q13" t="s">
        <v>96</v>
      </c>
      <c r="U13" t="s">
        <v>421</v>
      </c>
      <c r="W13" t="s">
        <v>465</v>
      </c>
      <c r="Y13" t="s">
        <v>236</v>
      </c>
      <c r="AA13" t="s">
        <v>177</v>
      </c>
      <c r="AC13" t="s">
        <v>233</v>
      </c>
      <c r="AE13" t="s">
        <v>178</v>
      </c>
      <c r="AG13" t="s">
        <v>235</v>
      </c>
    </row>
    <row r="14" spans="1:33" x14ac:dyDescent="0.45">
      <c r="A14" s="2">
        <f ca="1">OFFSET(E17,MATCH($D$1,$E$18:$E$34,0),MATCH($B$1,$F$17:$K$17,0)) - $C$14</f>
        <v>487190.55933337501</v>
      </c>
      <c r="C14" s="2">
        <v>0</v>
      </c>
      <c r="G14" s="2">
        <v>1.5</v>
      </c>
      <c r="J14" s="2">
        <v>1</v>
      </c>
      <c r="M14" s="6">
        <f ca="1">OFFSET(M17,MATCH($D$1,$M$18:$M$34,0),MATCH($B$1,$N$17:$S$17,0))</f>
        <v>18.785365271903114</v>
      </c>
      <c r="Q14" s="18">
        <v>0</v>
      </c>
      <c r="U14" s="6">
        <f ca="1">OFFSET(U17,MATCH($D$1,$U$18:$U$34,0),MATCH($B$1,$V$17:$AA$17,0))</f>
        <v>38479.1447463566</v>
      </c>
      <c r="W14" s="6">
        <f ca="1">OFFSET(U17,MATCH($D$1,$U$18:$U$34,0),8)</f>
        <v>8818.48</v>
      </c>
      <c r="Y14" s="6">
        <f ca="1">INDEX(AD18:AD34,MATCH($D$1,$M$18:$M$34,0))</f>
        <v>0.49629728974977283</v>
      </c>
      <c r="AA14" s="6">
        <f>Dashboard!E15</f>
        <v>200</v>
      </c>
      <c r="AC14" s="6">
        <f ca="1">IF(B1="PHEV", IF(AE14="Short", 20/M14, 50/M14), IF(B1="BEV", AA14/M14, 0)) * 33.7</f>
        <v>358.78993580608625</v>
      </c>
      <c r="AE14" s="6" t="str">
        <f>Dashboard!E19</f>
        <v>Long</v>
      </c>
      <c r="AG14" s="6">
        <f>IF(Dashboard!E19="Short",  IF(Dashboard!E3="AEO 2020",0.271, 0.456), IF(Dashboard!E3="AEO 2020",0.677, 0.743))</f>
        <v>0.74299999999999999</v>
      </c>
    </row>
    <row r="16" spans="1:33" x14ac:dyDescent="0.45">
      <c r="A16" t="s">
        <v>33</v>
      </c>
    </row>
    <row r="17" spans="1:47" x14ac:dyDescent="0.45">
      <c r="A17" s="77">
        <f>Dashboard!$H$23</f>
        <v>0.04</v>
      </c>
      <c r="E17" t="s">
        <v>24</v>
      </c>
      <c r="F17" t="s">
        <v>42</v>
      </c>
      <c r="G17" t="s">
        <v>43</v>
      </c>
      <c r="H17" t="s">
        <v>427</v>
      </c>
      <c r="I17" t="s">
        <v>44</v>
      </c>
      <c r="J17" t="s">
        <v>45</v>
      </c>
      <c r="K17" t="s">
        <v>46</v>
      </c>
      <c r="M17" t="s">
        <v>139</v>
      </c>
      <c r="N17" t="s">
        <v>42</v>
      </c>
      <c r="O17" t="s">
        <v>43</v>
      </c>
      <c r="P17" t="s">
        <v>427</v>
      </c>
      <c r="Q17" t="s">
        <v>44</v>
      </c>
      <c r="R17" t="s">
        <v>45</v>
      </c>
      <c r="S17" t="s">
        <v>46</v>
      </c>
      <c r="U17" t="s">
        <v>415</v>
      </c>
      <c r="V17" t="s">
        <v>42</v>
      </c>
      <c r="W17" t="s">
        <v>43</v>
      </c>
      <c r="X17" t="s">
        <v>427</v>
      </c>
      <c r="Y17" t="s">
        <v>44</v>
      </c>
      <c r="Z17" t="s">
        <v>45</v>
      </c>
      <c r="AA17" t="s">
        <v>46</v>
      </c>
      <c r="AC17" t="s">
        <v>463</v>
      </c>
      <c r="AD17" t="s">
        <v>234</v>
      </c>
      <c r="AF17" t="s">
        <v>164</v>
      </c>
      <c r="AG17" t="s">
        <v>165</v>
      </c>
      <c r="AH17" t="s">
        <v>166</v>
      </c>
      <c r="AI17" t="s">
        <v>167</v>
      </c>
      <c r="AJ17" t="s">
        <v>168</v>
      </c>
      <c r="AK17" t="s">
        <v>169</v>
      </c>
      <c r="AL17" t="s">
        <v>418</v>
      </c>
      <c r="AM17" t="s">
        <v>419</v>
      </c>
      <c r="AN17" t="s">
        <v>420</v>
      </c>
      <c r="AP17" t="s">
        <v>173</v>
      </c>
      <c r="AQ17" t="s">
        <v>174</v>
      </c>
      <c r="AR17" t="s">
        <v>176</v>
      </c>
      <c r="AS17" t="s">
        <v>175</v>
      </c>
      <c r="AT17" t="s">
        <v>416</v>
      </c>
      <c r="AU17" t="s">
        <v>417</v>
      </c>
    </row>
    <row r="18" spans="1:47" x14ac:dyDescent="0.45">
      <c r="E18" t="s">
        <v>57</v>
      </c>
      <c r="F18" s="10">
        <f ca="1">IF(Dashboard!$E$3=Lists!$X$6,$G$14*OFFSET(F58,100*(MATCH(Dashboard!$E$11,Lists!$AB$6:$AB$7,0)-1) + 20*(MATCH(Dashboard!$E$7,Lists!$AD$6:$AD$10,0)-1),0), IF(Dashboard!$E$3=Lists!$X$7,IF(Dashboard!$E$7=2020,Vehicle!F278,Vehicle!F258), IF(Dashboard!$E$3=Lists!$X$8,F298, IF(Dashboard!$E$3=Lists!$X$9,F38,""))))</f>
        <v>19095.440849999999</v>
      </c>
      <c r="G18" s="10">
        <f ca="1">IF(Dashboard!$E$3=Lists!$X$6,$G$14*OFFSET(G58,100*(MATCH(Dashboard!$E$11,Lists!$AB$6:$AB$7,0)-1) + 20*(MATCH(Dashboard!$E$7,Lists!$AD$6:$AD$10,0)-1),0), IF(Dashboard!$E$3=Lists!$X$7,IF(Dashboard!$E$7=2020,Vehicle!G278,Vehicle!G258), IF(Dashboard!$E$3=Lists!$X$8,G298, IF(Dashboard!$E$3=Lists!$X$9,G38,""))))</f>
        <v>22945.17885</v>
      </c>
      <c r="H18" s="10">
        <f ca="1">IF(Dashboard!$E$3=Lists!$X$6,$G$14*OFFSET(H58,100*(MATCH(Dashboard!$E$11,Lists!$AB$6:$AB$7,0)-1) + 20*(MATCH(Dashboard!$E$7,Lists!$AD$6:$AD$10,0)-1),0), IF(Dashboard!$E$3=Lists!$X$7,IF(Dashboard!$E$7=2020,Vehicle!H278,Vehicle!H258), IF(Dashboard!$E$3=Lists!$X$8,H298, IF(Dashboard!$E$3=Lists!$X$9,H38,""))))</f>
        <v>24166.126649999998</v>
      </c>
      <c r="I18" s="10">
        <f ca="1">IF(Dashboard!$E$3=Lists!$X$6,$G$14*OFFSET(I58,100*(MATCH(Dashboard!$E$11,Lists!$AB$6:$AB$7,0)-1) + 20*(MATCH(Dashboard!$E$7,Lists!$AD$6:$AD$10,0)-1),0), IF(Dashboard!$E$3=Lists!$X$7,IF(Dashboard!$E$7=2020,Vehicle!I278,Vehicle!I258), IF(Dashboard!$E$3=Lists!$X$8,I298, IF(Dashboard!$E$3=Lists!$X$9,I38,""))))</f>
        <v>37146.861150000004</v>
      </c>
      <c r="J18" s="10">
        <f ca="1">IF(Dashboard!$E$3=Lists!$X$6,$G$14*OFFSET(J58,100*(MATCH(Dashboard!$E$11,Lists!$AB$6:$AB$7,0)-1) + 20*(MATCH(Dashboard!$E$7,Lists!$AD$6:$AD$10,0)-1),0), IF(Dashboard!$E$3=Lists!$X$7,IF(Dashboard!$E$7=2020,Vehicle!J278,Vehicle!J258), IF(Dashboard!$E$3=Lists!$X$8,J298, IF(Dashboard!$E$3=Lists!$X$9,J38,""))))</f>
        <v>26578.19325</v>
      </c>
      <c r="K18" s="10">
        <f ca="1">IF(Dashboard!$E$3=Lists!$X$6,$G$14*OFFSET(K58,100*(MATCH(Dashboard!$E$11,Lists!$AB$6:$AB$7,0)-1) + 20*(MATCH(Dashboard!$E$7,Lists!$AD$6:$AD$10,0)-1),0), IF(Dashboard!$E$3=Lists!$X$7,IF(Dashboard!$E$7=2020,Vehicle!K278,Vehicle!K258), IF(Dashboard!$E$3=Lists!$X$8,K298, IF(Dashboard!$E$3=Lists!$X$9,K38,""))))</f>
        <v>34648.587899999999</v>
      </c>
      <c r="M18" t="s">
        <v>57</v>
      </c>
      <c r="N18" s="10">
        <f ca="1">IF(Dashboard!$E$3=Lists!$X$6,OFFSET(N58,100*(MATCH(Dashboard!$E$11,Lists!$AB$6:$AB$7,0)-1) + 20*(MATCH(Dashboard!$E$7,Lists!$AD$6:$AD$10,0)-1),0), IF(Dashboard!$E$3=Lists!$X$7,IF(Dashboard!$E$7=2020,Vehicle!N278,Vehicle!N258), IF(Dashboard!$E$3=Lists!$X$8,N298, IF(Dashboard!$E$3=Lists!$X$9,N38,""))))</f>
        <v>27.630206491187785</v>
      </c>
      <c r="O18" s="10">
        <f ca="1">IF(Dashboard!$E$3=Lists!$X$6,OFFSET(O58,100*(MATCH(Dashboard!$E$11,Lists!$AB$6:$AB$7,0)-1) + 20*(MATCH(Dashboard!$E$7,Lists!$AD$6:$AD$10,0)-1),0), IF(Dashboard!$E$3=Lists!$X$7,IF(Dashboard!$E$7=2020,Vehicle!O278,Vehicle!O258), IF(Dashboard!$E$3=Lists!$X$8,O298, IF(Dashboard!$E$3=Lists!$X$9,O38,""))))</f>
        <v>29.561722300470326</v>
      </c>
      <c r="P18" s="10">
        <f ca="1">IF(Dashboard!$E$3=Lists!$X$6,OFFSET(P58,100*(MATCH(Dashboard!$E$11,Lists!$AB$6:$AB$7,0)-1) + 20*(MATCH(Dashboard!$E$7,Lists!$AD$6:$AD$10,0)-1),0), IF(Dashboard!$E$3=Lists!$X$7,IF(Dashboard!$E$7=2020,Vehicle!P278,Vehicle!P258), IF(Dashboard!$E$3=Lists!$X$8,P298, IF(Dashboard!$E$3=Lists!$X$9,P38,""))))</f>
        <v>39.325951408251719</v>
      </c>
      <c r="Q18" s="10">
        <f ca="1">IF(Dashboard!$E$3=Lists!$X$6,OFFSET(Q58,100*(MATCH(Dashboard!$E$11,Lists!$AB$6:$AB$7,0)-1) + 20*(MATCH(Dashboard!$E$7,Lists!$AD$6:$AD$10,0)-1),0), IF(Dashboard!$E$3=Lists!$X$7,IF(Dashboard!$E$7=2020,Vehicle!Q278,Vehicle!Q258), IF(Dashboard!$E$3=Lists!$X$8,Q298, IF(Dashboard!$E$3=Lists!$X$9,Q38,""))))</f>
        <v>85.683900267338458</v>
      </c>
      <c r="R18" s="10">
        <f ca="1">IF(Dashboard!$E$3=Lists!$X$6,OFFSET(R58,100*(MATCH(Dashboard!$E$11,Lists!$AB$6:$AB$7,0)-1) + 20*(MATCH(Dashboard!$E$7,Lists!$AD$6:$AD$10,0)-1),0), IF(Dashboard!$E$3=Lists!$X$7,IF(Dashboard!$E$7=2020,Vehicle!R278,Vehicle!R258), IF(Dashboard!$E$3=Lists!$X$8,R298, IF(Dashboard!$E$3=Lists!$X$9,R38,""))))</f>
        <v>62.987147803749728</v>
      </c>
      <c r="S18" s="10">
        <f ca="1">IF(Dashboard!$E$3=Lists!$X$6,OFFSET(S58,100*(MATCH(Dashboard!$E$11,Lists!$AB$6:$AB$7,0)-1) + 20*(MATCH(Dashboard!$E$7,Lists!$AD$6:$AD$10,0)-1),0), IF(Dashboard!$E$3=Lists!$X$7,IF(Dashboard!$E$7=2020,Vehicle!S278,Vehicle!S258), IF(Dashboard!$E$3=Lists!$X$8,S298, IF(Dashboard!$E$3=Lists!$X$9,S38,""))))</f>
        <v>98.604682418098164</v>
      </c>
      <c r="U18" t="s">
        <v>57</v>
      </c>
      <c r="V18" s="10">
        <f ca="1">IF(Dashboard!$E$3=Lists!$X$6,OFFSET(V58,100*(MATCH(Dashboard!$E$11,Lists!$AB$6:$AB$7,0)-1) + 20*(MATCH(Dashboard!$E$7,Lists!$AD$6:$AD$10,0)-1),0), IF(Dashboard!$E$3=Lists!$X$7,IF(Dashboard!$E$7=2020,Vehicle!V278,Vehicle!V258), IF(Dashboard!$E$3=Lists!$X$8,V298, IF(Dashboard!$E$3=Lists!$X$9,V38,""))))</f>
        <v>3234.1775399999997</v>
      </c>
      <c r="W18" s="10">
        <f ca="1">IF(Dashboard!$E$3=Lists!$X$6,OFFSET(W58,100*(MATCH(Dashboard!$E$11,Lists!$AB$6:$AB$7,0)-1) + 20*(MATCH(Dashboard!$E$7,Lists!$AD$6:$AD$10,0)-1),0), IF(Dashboard!$E$3=Lists!$X$7,IF(Dashboard!$E$7=2020,Vehicle!W278,Vehicle!W258), IF(Dashboard!$E$3=Lists!$X$8,W298, IF(Dashboard!$E$3=Lists!$X$9,W38,""))))</f>
        <v>3344.4085399999999</v>
      </c>
      <c r="X18" s="10">
        <f ca="1">IF(Dashboard!$E$3=Lists!$X$6,OFFSET(X58,100*(MATCH(Dashboard!$E$11,Lists!$AB$6:$AB$7,0)-1) + 20*(MATCH(Dashboard!$E$7,Lists!$AD$6:$AD$10,0)-1),0), IF(Dashboard!$E$3=Lists!$X$7,IF(Dashboard!$E$7=2020,Vehicle!X278,Vehicle!X258), IF(Dashboard!$E$3=Lists!$X$8,X298, IF(Dashboard!$E$3=Lists!$X$9,X38,""))))</f>
        <v>3337.7946799999995</v>
      </c>
      <c r="Y18" s="10">
        <f ca="1">IF(Dashboard!$E$3=Lists!$X$6,OFFSET(Y58,100*(MATCH(Dashboard!$E$11,Lists!$AB$6:$AB$7,0)-1) + 20*(MATCH(Dashboard!$E$7,Lists!$AD$6:$AD$10,0)-1),0), IF(Dashboard!$E$3=Lists!$X$7,IF(Dashboard!$E$7=2020,Vehicle!Y278,Vehicle!Y258), IF(Dashboard!$E$3=Lists!$X$8,Y298, IF(Dashboard!$E$3=Lists!$X$9,Y38,""))))</f>
        <v>3838.2434199999998</v>
      </c>
      <c r="Z18" s="10">
        <f ca="1">IF(Dashboard!$E$3=Lists!$X$6,OFFSET(Z58,100*(MATCH(Dashboard!$E$11,Lists!$AB$6:$AB$7,0)-1) + 20*(MATCH(Dashboard!$E$7,Lists!$AD$6:$AD$10,0)-1),0), IF(Dashboard!$E$3=Lists!$X$7,IF(Dashboard!$E$7=2020,Vehicle!Z278,Vehicle!Z258), IF(Dashboard!$E$3=Lists!$X$8,Z298, IF(Dashboard!$E$3=Lists!$X$9,Z38,""))))</f>
        <v>3423.7748599999995</v>
      </c>
      <c r="AA18" s="10">
        <f ca="1">IF(Dashboard!$E$3=Lists!$X$6,OFFSET(AA58,100*(MATCH(Dashboard!$E$11,Lists!$AB$6:$AB$7,0)-1) + 20*(MATCH(Dashboard!$E$7,Lists!$AD$6:$AD$10,0)-1),0), IF(Dashboard!$E$3=Lists!$X$7,IF(Dashboard!$E$7=2020,Vehicle!AA278,Vehicle!AA258), IF(Dashboard!$E$3=Lists!$X$8,AA298, IF(Dashboard!$E$3=Lists!$X$9,AA38,""))))</f>
        <v>3586.9167399999997</v>
      </c>
      <c r="AD18" s="36">
        <f ca="1">IF(Dashboard!$E$3=Lists!$X$6,OFFSET(AD58,100*(MATCH(Dashboard!$E$11,Lists!$AB$6:$AB$7,0)-1) + 20*(MATCH(Dashboard!$E$7,Lists!$AD$6:$AD$10,0)-1),0), IF(Dashboard!$E$3=Lists!$X$7,Vehicle!AD258, IF(Dashboard!$E$3=Lists!$X$8,AD278, IF(Dashboard!$E$3=Lists!$X$9,AD38,""))))</f>
        <v>0.74299999999999999</v>
      </c>
    </row>
    <row r="19" spans="1:47" x14ac:dyDescent="0.45">
      <c r="A19" t="s">
        <v>36</v>
      </c>
      <c r="E19" t="s">
        <v>58</v>
      </c>
      <c r="F19" s="10">
        <f ca="1">IF(Dashboard!$E$3=Lists!$X$6,$G$14*OFFSET(F59,100*(MATCH(Dashboard!$E$11,Lists!$AB$6:$AB$7,0)-1) + 20*(MATCH(Dashboard!$E$7,Lists!$AD$6:$AD$10,0)-1),0), IF(Dashboard!$E$3=Lists!$X$7,IF(Dashboard!$E$7=2020,Vehicle!F279,Vehicle!F259), IF(Dashboard!$E$3=Lists!$X$8,F299, IF(Dashboard!$E$3=Lists!$X$9,F39,""))))</f>
        <v>24068.414099999998</v>
      </c>
      <c r="G19" s="10">
        <f ca="1">IF(Dashboard!$E$3=Lists!$X$6,$G$14*OFFSET(G59,100*(MATCH(Dashboard!$E$11,Lists!$AB$6:$AB$7,0)-1) + 20*(MATCH(Dashboard!$E$7,Lists!$AD$6:$AD$10,0)-1),0), IF(Dashboard!$E$3=Lists!$X$7,IF(Dashboard!$E$7=2020,Vehicle!G279,Vehicle!G259), IF(Dashboard!$E$3=Lists!$X$8,G299, IF(Dashboard!$E$3=Lists!$X$9,G39,""))))</f>
        <v>27696.929250000001</v>
      </c>
      <c r="H19" s="10">
        <f ca="1">IF(Dashboard!$E$3=Lists!$X$6,$G$14*OFFSET(H59,100*(MATCH(Dashboard!$E$11,Lists!$AB$6:$AB$7,0)-1) + 20*(MATCH(Dashboard!$E$7,Lists!$AD$6:$AD$10,0)-1),0), IF(Dashboard!$E$3=Lists!$X$7,IF(Dashboard!$E$7=2020,Vehicle!H279,Vehicle!H259), IF(Dashboard!$E$3=Lists!$X$8,H299, IF(Dashboard!$E$3=Lists!$X$9,H39,""))))</f>
        <v>29390.707650000004</v>
      </c>
      <c r="I19" s="10">
        <f ca="1">IF(Dashboard!$E$3=Lists!$X$6,$G$14*OFFSET(I59,100*(MATCH(Dashboard!$E$11,Lists!$AB$6:$AB$7,0)-1) + 20*(MATCH(Dashboard!$E$7,Lists!$AD$6:$AD$10,0)-1),0), IF(Dashboard!$E$3=Lists!$X$7,IF(Dashboard!$E$7=2020,Vehicle!I279,Vehicle!I259), IF(Dashboard!$E$3=Lists!$X$8,I299, IF(Dashboard!$E$3=Lists!$X$9,I39,""))))</f>
        <v>43341.927750000003</v>
      </c>
      <c r="J19" s="10">
        <f ca="1">IF(Dashboard!$E$3=Lists!$X$6,$G$14*OFFSET(J59,100*(MATCH(Dashboard!$E$11,Lists!$AB$6:$AB$7,0)-1) + 20*(MATCH(Dashboard!$E$7,Lists!$AD$6:$AD$10,0)-1),0), IF(Dashboard!$E$3=Lists!$X$7,IF(Dashboard!$E$7=2020,Vehicle!J279,Vehicle!J259), IF(Dashboard!$E$3=Lists!$X$8,J299, IF(Dashboard!$E$3=Lists!$X$9,J39,""))))</f>
        <v>33261.039300000004</v>
      </c>
      <c r="K19" s="10">
        <f ca="1">IF(Dashboard!$E$3=Lists!$X$6,$G$14*OFFSET(K59,100*(MATCH(Dashboard!$E$11,Lists!$AB$6:$AB$7,0)-1) + 20*(MATCH(Dashboard!$E$7,Lists!$AD$6:$AD$10,0)-1),0), IF(Dashboard!$E$3=Lists!$X$7,IF(Dashboard!$E$7=2020,Vehicle!K279,Vehicle!K259), IF(Dashboard!$E$3=Lists!$X$8,K299, IF(Dashboard!$E$3=Lists!$X$9,K39,""))))</f>
        <v>40877.827499999999</v>
      </c>
      <c r="M19" t="s">
        <v>58</v>
      </c>
      <c r="N19" s="10">
        <f ca="1">IF(Dashboard!$E$3=Lists!$X$6,OFFSET(N59,100*(MATCH(Dashboard!$E$11,Lists!$AB$6:$AB$7,0)-1) + 20*(MATCH(Dashboard!$E$7,Lists!$AD$6:$AD$10,0)-1),0), IF(Dashboard!$E$3=Lists!$X$7,IF(Dashboard!$E$7=2020,Vehicle!N279,Vehicle!N259), IF(Dashboard!$E$3=Lists!$X$8,N299, IF(Dashboard!$E$3=Lists!$X$9,N39,""))))</f>
        <v>24.287614927568747</v>
      </c>
      <c r="O19" s="10">
        <f ca="1">IF(Dashboard!$E$3=Lists!$X$6,OFFSET(O59,100*(MATCH(Dashboard!$E$11,Lists!$AB$6:$AB$7,0)-1) + 20*(MATCH(Dashboard!$E$7,Lists!$AD$6:$AD$10,0)-1),0), IF(Dashboard!$E$3=Lists!$X$7,IF(Dashboard!$E$7=2020,Vehicle!O279,Vehicle!O259), IF(Dashboard!$E$3=Lists!$X$8,O299, IF(Dashboard!$E$3=Lists!$X$9,O39,""))))</f>
        <v>26.802077397159856</v>
      </c>
      <c r="P19" s="10">
        <f ca="1">IF(Dashboard!$E$3=Lists!$X$6,OFFSET(P59,100*(MATCH(Dashboard!$E$11,Lists!$AB$6:$AB$7,0)-1) + 20*(MATCH(Dashboard!$E$7,Lists!$AD$6:$AD$10,0)-1),0), IF(Dashboard!$E$3=Lists!$X$7,IF(Dashboard!$E$7=2020,Vehicle!P279,Vehicle!P259), IF(Dashboard!$E$3=Lists!$X$8,P299, IF(Dashboard!$E$3=Lists!$X$9,P39,""))))</f>
        <v>35.921178726855388</v>
      </c>
      <c r="Q19" s="10">
        <f ca="1">IF(Dashboard!$E$3=Lists!$X$6,OFFSET(Q59,100*(MATCH(Dashboard!$E$11,Lists!$AB$6:$AB$7,0)-1) + 20*(MATCH(Dashboard!$E$7,Lists!$AD$6:$AD$10,0)-1),0), IF(Dashboard!$E$3=Lists!$X$7,IF(Dashboard!$E$7=2020,Vehicle!Q279,Vehicle!Q259), IF(Dashboard!$E$3=Lists!$X$8,Q299, IF(Dashboard!$E$3=Lists!$X$9,Q39,""))))</f>
        <v>78.838256520370493</v>
      </c>
      <c r="R19" s="10">
        <f ca="1">IF(Dashboard!$E$3=Lists!$X$6,OFFSET(R59,100*(MATCH(Dashboard!$E$11,Lists!$AB$6:$AB$7,0)-1) + 20*(MATCH(Dashboard!$E$7,Lists!$AD$6:$AD$10,0)-1),0), IF(Dashboard!$E$3=Lists!$X$7,IF(Dashboard!$E$7=2020,Vehicle!R279,Vehicle!R259), IF(Dashboard!$E$3=Lists!$X$8,R299, IF(Dashboard!$E$3=Lists!$X$9,R39,""))))</f>
        <v>56.726604816501705</v>
      </c>
      <c r="S19" s="10">
        <f ca="1">IF(Dashboard!$E$3=Lists!$X$6,OFFSET(S59,100*(MATCH(Dashboard!$E$11,Lists!$AB$6:$AB$7,0)-1) + 20*(MATCH(Dashboard!$E$7,Lists!$AD$6:$AD$10,0)-1),0), IF(Dashboard!$E$3=Lists!$X$7,IF(Dashboard!$E$7=2020,Vehicle!S279,Vehicle!S259), IF(Dashboard!$E$3=Lists!$X$8,S299, IF(Dashboard!$E$3=Lists!$X$9,S39,""))))</f>
        <v>91.484144773249909</v>
      </c>
      <c r="U19" t="s">
        <v>58</v>
      </c>
      <c r="V19" s="10">
        <f ca="1">IF(Dashboard!$E$3=Lists!$X$6,OFFSET(V59,100*(MATCH(Dashboard!$E$11,Lists!$AB$6:$AB$7,0)-1) + 20*(MATCH(Dashboard!$E$7,Lists!$AD$6:$AD$10,0)-1),0), IF(Dashboard!$E$3=Lists!$X$7,IF(Dashboard!$E$7=2020,Vehicle!V279,Vehicle!V259), IF(Dashboard!$E$3=Lists!$X$8,V299, IF(Dashboard!$E$3=Lists!$X$9,V39,""))))</f>
        <v>3840.4480399999998</v>
      </c>
      <c r="W19" s="10">
        <f ca="1">IF(Dashboard!$E$3=Lists!$X$6,OFFSET(W59,100*(MATCH(Dashboard!$E$11,Lists!$AB$6:$AB$7,0)-1) + 20*(MATCH(Dashboard!$E$7,Lists!$AD$6:$AD$10,0)-1),0), IF(Dashboard!$E$3=Lists!$X$7,IF(Dashboard!$E$7=2020,Vehicle!W279,Vehicle!W259), IF(Dashboard!$E$3=Lists!$X$8,W299, IF(Dashboard!$E$3=Lists!$X$9,W39,""))))</f>
        <v>3944.0651799999996</v>
      </c>
      <c r="X19" s="10">
        <f ca="1">IF(Dashboard!$E$3=Lists!$X$6,OFFSET(X59,100*(MATCH(Dashboard!$E$11,Lists!$AB$6:$AB$7,0)-1) + 20*(MATCH(Dashboard!$E$7,Lists!$AD$6:$AD$10,0)-1),0), IF(Dashboard!$E$3=Lists!$X$7,IF(Dashboard!$E$7=2020,Vehicle!X279,Vehicle!X259), IF(Dashboard!$E$3=Lists!$X$8,X299, IF(Dashboard!$E$3=Lists!$X$9,X39,""))))</f>
        <v>3893.3589199999997</v>
      </c>
      <c r="Y19" s="10">
        <f ca="1">IF(Dashboard!$E$3=Lists!$X$6,OFFSET(Y59,100*(MATCH(Dashboard!$E$11,Lists!$AB$6:$AB$7,0)-1) + 20*(MATCH(Dashboard!$E$7,Lists!$AD$6:$AD$10,0)-1),0), IF(Dashboard!$E$3=Lists!$X$7,IF(Dashboard!$E$7=2020,Vehicle!Y279,Vehicle!Y259), IF(Dashboard!$E$3=Lists!$X$8,Y299, IF(Dashboard!$E$3=Lists!$X$9,Y39,""))))</f>
        <v>4433.49082</v>
      </c>
      <c r="Z19" s="10">
        <f ca="1">IF(Dashboard!$E$3=Lists!$X$6,OFFSET(Z59,100*(MATCH(Dashboard!$E$11,Lists!$AB$6:$AB$7,0)-1) + 20*(MATCH(Dashboard!$E$7,Lists!$AD$6:$AD$10,0)-1),0), IF(Dashboard!$E$3=Lists!$X$7,IF(Dashboard!$E$7=2020,Vehicle!Z279,Vehicle!Z259), IF(Dashboard!$E$3=Lists!$X$8,Z299, IF(Dashboard!$E$3=Lists!$X$9,Z39,""))))</f>
        <v>4038.8638399999995</v>
      </c>
      <c r="AA19" s="10">
        <f ca="1">IF(Dashboard!$E$3=Lists!$X$6,OFFSET(AA59,100*(MATCH(Dashboard!$E$11,Lists!$AB$6:$AB$7,0)-1) + 20*(MATCH(Dashboard!$E$7,Lists!$AD$6:$AD$10,0)-1),0), IF(Dashboard!$E$3=Lists!$X$7,IF(Dashboard!$E$7=2020,Vehicle!AA279,Vehicle!AA259), IF(Dashboard!$E$3=Lists!$X$8,AA299, IF(Dashboard!$E$3=Lists!$X$9,AA39,""))))</f>
        <v>4157.9133199999997</v>
      </c>
      <c r="AD19" s="36">
        <f ca="1">IF(Dashboard!$E$3=Lists!$X$6,OFFSET(AD59,100*(MATCH(Dashboard!$E$11,Lists!$AB$6:$AB$7,0)-1) + 20*(MATCH(Dashboard!$E$7,Lists!$AD$6:$AD$10,0)-1),0), IF(Dashboard!$E$3=Lists!$X$7,Vehicle!AD259, IF(Dashboard!$E$3=Lists!$X$8,AD279, IF(Dashboard!$E$3=Lists!$X$9,AD39,""))))</f>
        <v>0.74299999999999999</v>
      </c>
    </row>
    <row r="20" spans="1:47" x14ac:dyDescent="0.45">
      <c r="A20" s="2">
        <v>5.25</v>
      </c>
      <c r="E20" t="s">
        <v>56</v>
      </c>
      <c r="F20" s="10">
        <f ca="1">IF(Dashboard!$E$3=Lists!$X$6,$G$14*OFFSET(F60,100*(MATCH(Dashboard!$E$11,Lists!$AB$6:$AB$7,0)-1) + 20*(MATCH(Dashboard!$E$7,Lists!$AD$6:$AD$10,0)-1),0), IF(Dashboard!$E$3=Lists!$X$7,IF(Dashboard!$E$7=2020,Vehicle!F280,Vehicle!F260), IF(Dashboard!$E$3=Lists!$X$8,F300, IF(Dashboard!$E$3=Lists!$X$9,F40,""))))</f>
        <v>27242.973150000002</v>
      </c>
      <c r="G20" s="10">
        <f ca="1">IF(Dashboard!$E$3=Lists!$X$6,$G$14*OFFSET(G60,100*(MATCH(Dashboard!$E$11,Lists!$AB$6:$AB$7,0)-1) + 20*(MATCH(Dashboard!$E$7,Lists!$AD$6:$AD$10,0)-1),0), IF(Dashboard!$E$3=Lists!$X$7,IF(Dashboard!$E$7=2020,Vehicle!G280,Vehicle!G260), IF(Dashboard!$E$3=Lists!$X$8,G300, IF(Dashboard!$E$3=Lists!$X$9,G40,""))))</f>
        <v>30787.334849999999</v>
      </c>
      <c r="H20" s="10">
        <f ca="1">IF(Dashboard!$E$3=Lists!$X$6,$G$14*OFFSET(H60,100*(MATCH(Dashboard!$E$11,Lists!$AB$6:$AB$7,0)-1) + 20*(MATCH(Dashboard!$E$7,Lists!$AD$6:$AD$10,0)-1),0), IF(Dashboard!$E$3=Lists!$X$7,IF(Dashboard!$E$7=2020,Vehicle!H280,Vehicle!H260), IF(Dashboard!$E$3=Lists!$X$8,H300, IF(Dashboard!$E$3=Lists!$X$9,H40,""))))</f>
        <v>33014.363100000002</v>
      </c>
      <c r="I20" s="10">
        <f ca="1">IF(Dashboard!$E$3=Lists!$X$6,$G$14*OFFSET(I60,100*(MATCH(Dashboard!$E$11,Lists!$AB$6:$AB$7,0)-1) + 20*(MATCH(Dashboard!$E$7,Lists!$AD$6:$AD$10,0)-1),0), IF(Dashboard!$E$3=Lists!$X$7,IF(Dashboard!$E$7=2020,Vehicle!I280,Vehicle!I260), IF(Dashboard!$E$3=Lists!$X$8,I300, IF(Dashboard!$E$3=Lists!$X$9,I40,""))))</f>
        <v>48265.881450000001</v>
      </c>
      <c r="J20" s="10">
        <f ca="1">IF(Dashboard!$E$3=Lists!$X$6,$G$14*OFFSET(J60,100*(MATCH(Dashboard!$E$11,Lists!$AB$6:$AB$7,0)-1) + 20*(MATCH(Dashboard!$E$7,Lists!$AD$6:$AD$10,0)-1),0), IF(Dashboard!$E$3=Lists!$X$7,IF(Dashboard!$E$7=2020,Vehicle!J280,Vehicle!J260), IF(Dashboard!$E$3=Lists!$X$8,J300, IF(Dashboard!$E$3=Lists!$X$9,J40,""))))</f>
        <v>37352.323649999998</v>
      </c>
      <c r="K20" s="10">
        <f ca="1">IF(Dashboard!$E$3=Lists!$X$6,$G$14*OFFSET(K60,100*(MATCH(Dashboard!$E$11,Lists!$AB$6:$AB$7,0)-1) + 20*(MATCH(Dashboard!$E$7,Lists!$AD$6:$AD$10,0)-1),0), IF(Dashboard!$E$3=Lists!$X$7,IF(Dashboard!$E$7=2020,Vehicle!K280,Vehicle!K260), IF(Dashboard!$E$3=Lists!$X$8,K300, IF(Dashboard!$E$3=Lists!$X$9,K40,""))))</f>
        <v>47305.076399999998</v>
      </c>
      <c r="M20" t="s">
        <v>56</v>
      </c>
      <c r="N20" s="10">
        <f ca="1">IF(Dashboard!$E$3=Lists!$X$6,OFFSET(N60,100*(MATCH(Dashboard!$E$11,Lists!$AB$6:$AB$7,0)-1) + 20*(MATCH(Dashboard!$E$7,Lists!$AD$6:$AD$10,0)-1),0), IF(Dashboard!$E$3=Lists!$X$7,IF(Dashboard!$E$7=2020,Vehicle!N280,Vehicle!N260), IF(Dashboard!$E$3=Lists!$X$8,N300, IF(Dashboard!$E$3=Lists!$X$9,N40,""))))</f>
        <v>24.342692578226337</v>
      </c>
      <c r="O20" s="10">
        <f ca="1">IF(Dashboard!$E$3=Lists!$X$6,OFFSET(O60,100*(MATCH(Dashboard!$E$11,Lists!$AB$6:$AB$7,0)-1) + 20*(MATCH(Dashboard!$E$7,Lists!$AD$6:$AD$10,0)-1),0), IF(Dashboard!$E$3=Lists!$X$7,IF(Dashboard!$E$7=2020,Vehicle!O280,Vehicle!O260), IF(Dashboard!$E$3=Lists!$X$8,O300, IF(Dashboard!$E$3=Lists!$X$9,O40,""))))</f>
        <v>25.132221612269227</v>
      </c>
      <c r="P20" s="10">
        <f ca="1">IF(Dashboard!$E$3=Lists!$X$6,OFFSET(P60,100*(MATCH(Dashboard!$E$11,Lists!$AB$6:$AB$7,0)-1) + 20*(MATCH(Dashboard!$E$7,Lists!$AD$6:$AD$10,0)-1),0), IF(Dashboard!$E$3=Lists!$X$7,IF(Dashboard!$E$7=2020,Vehicle!P280,Vehicle!P260), IF(Dashboard!$E$3=Lists!$X$8,P300, IF(Dashboard!$E$3=Lists!$X$9,P40,""))))</f>
        <v>33.079749304470695</v>
      </c>
      <c r="Q20" s="10">
        <f ca="1">IF(Dashboard!$E$3=Lists!$X$6,OFFSET(Q60,100*(MATCH(Dashboard!$E$11,Lists!$AB$6:$AB$7,0)-1) + 20*(MATCH(Dashboard!$E$7,Lists!$AD$6:$AD$10,0)-1),0), IF(Dashboard!$E$3=Lists!$X$7,IF(Dashboard!$E$7=2020,Vehicle!Q280,Vehicle!Q260), IF(Dashboard!$E$3=Lists!$X$8,Q300, IF(Dashboard!$E$3=Lists!$X$9,Q40,""))))</f>
        <v>68.879898592491728</v>
      </c>
      <c r="R20" s="10">
        <f ca="1">IF(Dashboard!$E$3=Lists!$X$6,OFFSET(R60,100*(MATCH(Dashboard!$E$11,Lists!$AB$6:$AB$7,0)-1) + 20*(MATCH(Dashboard!$E$7,Lists!$AD$6:$AD$10,0)-1),0), IF(Dashboard!$E$3=Lists!$X$7,IF(Dashboard!$E$7=2020,Vehicle!R280,Vehicle!R260), IF(Dashboard!$E$3=Lists!$X$8,R300, IF(Dashboard!$E$3=Lists!$X$9,R40,""))))</f>
        <v>49.65864940985491</v>
      </c>
      <c r="S20" s="10">
        <f ca="1">IF(Dashboard!$E$3=Lists!$X$6,OFFSET(S60,100*(MATCH(Dashboard!$E$11,Lists!$AB$6:$AB$7,0)-1) + 20*(MATCH(Dashboard!$E$7,Lists!$AD$6:$AD$10,0)-1),0), IF(Dashboard!$E$3=Lists!$X$7,IF(Dashboard!$E$7=2020,Vehicle!S280,Vehicle!S260), IF(Dashboard!$E$3=Lists!$X$8,S300, IF(Dashboard!$E$3=Lists!$X$9,S40,""))))</f>
        <v>78.741649691722913</v>
      </c>
      <c r="U20" t="s">
        <v>56</v>
      </c>
      <c r="V20" s="10">
        <f ca="1">IF(Dashboard!$E$3=Lists!$X$6,OFFSET(V60,100*(MATCH(Dashboard!$E$11,Lists!$AB$6:$AB$7,0)-1) + 20*(MATCH(Dashboard!$E$7,Lists!$AD$6:$AD$10,0)-1),0), IF(Dashboard!$E$3=Lists!$X$7,IF(Dashboard!$E$7=2020,Vehicle!V280,Vehicle!V260), IF(Dashboard!$E$3=Lists!$X$8,V300, IF(Dashboard!$E$3=Lists!$X$9,V40,""))))</f>
        <v>3924.2235999999998</v>
      </c>
      <c r="W20" s="10">
        <f ca="1">IF(Dashboard!$E$3=Lists!$X$6,OFFSET(W60,100*(MATCH(Dashboard!$E$11,Lists!$AB$6:$AB$7,0)-1) + 20*(MATCH(Dashboard!$E$7,Lists!$AD$6:$AD$10,0)-1),0), IF(Dashboard!$E$3=Lists!$X$7,IF(Dashboard!$E$7=2020,Vehicle!W280,Vehicle!W260), IF(Dashboard!$E$3=Lists!$X$8,W300, IF(Dashboard!$E$3=Lists!$X$9,W40,""))))</f>
        <v>4019.0222599999997</v>
      </c>
      <c r="X20" s="10">
        <f ca="1">IF(Dashboard!$E$3=Lists!$X$6,OFFSET(X60,100*(MATCH(Dashboard!$E$11,Lists!$AB$6:$AB$7,0)-1) + 20*(MATCH(Dashboard!$E$7,Lists!$AD$6:$AD$10,0)-1),0), IF(Dashboard!$E$3=Lists!$X$7,IF(Dashboard!$E$7=2020,Vehicle!X280,Vehicle!X260), IF(Dashboard!$E$3=Lists!$X$8,X300, IF(Dashboard!$E$3=Lists!$X$9,X40,""))))</f>
        <v>4003.5899199999994</v>
      </c>
      <c r="Y20" s="10">
        <f ca="1">IF(Dashboard!$E$3=Lists!$X$6,OFFSET(Y60,100*(MATCH(Dashboard!$E$11,Lists!$AB$6:$AB$7,0)-1) + 20*(MATCH(Dashboard!$E$7,Lists!$AD$6:$AD$10,0)-1),0), IF(Dashboard!$E$3=Lists!$X$7,IF(Dashboard!$E$7=2020,Vehicle!Y280,Vehicle!Y260), IF(Dashboard!$E$3=Lists!$X$8,Y300, IF(Dashboard!$E$3=Lists!$X$9,Y40,""))))</f>
        <v>4609.86042</v>
      </c>
      <c r="Z20" s="10">
        <f ca="1">IF(Dashboard!$E$3=Lists!$X$6,OFFSET(Z60,100*(MATCH(Dashboard!$E$11,Lists!$AB$6:$AB$7,0)-1) + 20*(MATCH(Dashboard!$E$7,Lists!$AD$6:$AD$10,0)-1),0), IF(Dashboard!$E$3=Lists!$X$7,IF(Dashboard!$E$7=2020,Vehicle!Z280,Vehicle!Z260), IF(Dashboard!$E$3=Lists!$X$8,Z300, IF(Dashboard!$E$3=Lists!$X$9,Z40,""))))</f>
        <v>4168.93642</v>
      </c>
      <c r="AA20" s="10">
        <f ca="1">IF(Dashboard!$E$3=Lists!$X$6,OFFSET(AA60,100*(MATCH(Dashboard!$E$11,Lists!$AB$6:$AB$7,0)-1) + 20*(MATCH(Dashboard!$E$7,Lists!$AD$6:$AD$10,0)-1),0), IF(Dashboard!$E$3=Lists!$X$7,IF(Dashboard!$E$7=2020,Vehicle!AA280,Vehicle!AA260), IF(Dashboard!$E$3=Lists!$X$8,AA300, IF(Dashboard!$E$3=Lists!$X$9,AA40,""))))</f>
        <v>4347.5106399999995</v>
      </c>
      <c r="AD20" s="36">
        <f ca="1">IF(Dashboard!$E$3=Lists!$X$6,OFFSET(AD60,100*(MATCH(Dashboard!$E$11,Lists!$AB$6:$AB$7,0)-1) + 20*(MATCH(Dashboard!$E$7,Lists!$AD$6:$AD$10,0)-1),0), IF(Dashboard!$E$3=Lists!$X$7,Vehicle!AD260, IF(Dashboard!$E$3=Lists!$X$8,AD280, IF(Dashboard!$E$3=Lists!$X$9,AD40,""))))</f>
        <v>0.74299999999999999</v>
      </c>
    </row>
    <row r="21" spans="1:47" x14ac:dyDescent="0.45">
      <c r="E21" t="s">
        <v>59</v>
      </c>
      <c r="F21" s="10">
        <f ca="1">IF(Dashboard!$E$3=Lists!$X$6,$G$14*OFFSET(F61,100*(MATCH(Dashboard!$E$11,Lists!$AB$6:$AB$7,0)-1) + 20*(MATCH(Dashboard!$E$7,Lists!$AD$6:$AD$10,0)-1),0), IF(Dashboard!$E$3=Lists!$X$7,IF(Dashboard!$E$7=2020,Vehicle!F281,Vehicle!F261), IF(Dashboard!$E$3=Lists!$X$8,F301, IF(Dashboard!$E$3=Lists!$X$9,F41,""))))</f>
        <v>28873.768499999998</v>
      </c>
      <c r="G21" s="10">
        <f ca="1">IF(Dashboard!$E$3=Lists!$X$6,$G$14*OFFSET(G61,100*(MATCH(Dashboard!$E$11,Lists!$AB$6:$AB$7,0)-1) + 20*(MATCH(Dashboard!$E$7,Lists!$AD$6:$AD$10,0)-1),0), IF(Dashboard!$E$3=Lists!$X$7,IF(Dashboard!$E$7=2020,Vehicle!G281,Vehicle!G261), IF(Dashboard!$E$3=Lists!$X$8,G301, IF(Dashboard!$E$3=Lists!$X$9,G41,""))))</f>
        <v>32430.485550000001</v>
      </c>
      <c r="H21" s="10">
        <f ca="1">IF(Dashboard!$E$3=Lists!$X$6,$G$14*OFFSET(H61,100*(MATCH(Dashboard!$E$11,Lists!$AB$6:$AB$7,0)-1) + 20*(MATCH(Dashboard!$E$7,Lists!$AD$6:$AD$10,0)-1),0), IF(Dashboard!$E$3=Lists!$X$7,IF(Dashboard!$E$7=2020,Vehicle!H281,Vehicle!H261), IF(Dashboard!$E$3=Lists!$X$8,H301, IF(Dashboard!$E$3=Lists!$X$9,H41,""))))</f>
        <v>34697.222099999999</v>
      </c>
      <c r="I21" s="10">
        <f ca="1">IF(Dashboard!$E$3=Lists!$X$6,$G$14*OFFSET(I61,100*(MATCH(Dashboard!$E$11,Lists!$AB$6:$AB$7,0)-1) + 20*(MATCH(Dashboard!$E$7,Lists!$AD$6:$AD$10,0)-1),0), IF(Dashboard!$E$3=Lists!$X$7,IF(Dashboard!$E$7=2020,Vehicle!I281,Vehicle!I261), IF(Dashboard!$E$3=Lists!$X$8,I301, IF(Dashboard!$E$3=Lists!$X$9,I41,""))))</f>
        <v>51303.735000000001</v>
      </c>
      <c r="J21" s="10">
        <f ca="1">IF(Dashboard!$E$3=Lists!$X$6,$G$14*OFFSET(J61,100*(MATCH(Dashboard!$E$11,Lists!$AB$6:$AB$7,0)-1) + 20*(MATCH(Dashboard!$E$7,Lists!$AD$6:$AD$10,0)-1),0), IF(Dashboard!$E$3=Lists!$X$7,IF(Dashboard!$E$7=2020,Vehicle!J281,Vehicle!J261), IF(Dashboard!$E$3=Lists!$X$8,J301, IF(Dashboard!$E$3=Lists!$X$9,J41,""))))</f>
        <v>39343.866450000001</v>
      </c>
      <c r="K21" s="10">
        <f ca="1">IF(Dashboard!$E$3=Lists!$X$6,$G$14*OFFSET(K61,100*(MATCH(Dashboard!$E$11,Lists!$AB$6:$AB$7,0)-1) + 20*(MATCH(Dashboard!$E$7,Lists!$AD$6:$AD$10,0)-1),0), IF(Dashboard!$E$3=Lists!$X$7,IF(Dashboard!$E$7=2020,Vehicle!K281,Vehicle!K261), IF(Dashboard!$E$3=Lists!$X$8,K301, IF(Dashboard!$E$3=Lists!$X$9,K41,""))))</f>
        <v>51167.975999999995</v>
      </c>
      <c r="M21" t="s">
        <v>59</v>
      </c>
      <c r="N21" s="10">
        <f ca="1">IF(Dashboard!$E$3=Lists!$X$6,OFFSET(N61,100*(MATCH(Dashboard!$E$11,Lists!$AB$6:$AB$7,0)-1) + 20*(MATCH(Dashboard!$E$7,Lists!$AD$6:$AD$10,0)-1),0), IF(Dashboard!$E$3=Lists!$X$7,IF(Dashboard!$E$7=2020,Vehicle!N281,Vehicle!N261), IF(Dashboard!$E$3=Lists!$X$8,N301, IF(Dashboard!$E$3=Lists!$X$9,N41,""))))</f>
        <v>20.74382356943774</v>
      </c>
      <c r="O21" s="10">
        <f ca="1">IF(Dashboard!$E$3=Lists!$X$6,OFFSET(O61,100*(MATCH(Dashboard!$E$11,Lists!$AB$6:$AB$7,0)-1) + 20*(MATCH(Dashboard!$E$7,Lists!$AD$6:$AD$10,0)-1),0), IF(Dashboard!$E$3=Lists!$X$7,IF(Dashboard!$E$7=2020,Vehicle!O281,Vehicle!O261), IF(Dashboard!$E$3=Lists!$X$8,O301, IF(Dashboard!$E$3=Lists!$X$9,O41,""))))</f>
        <v>23.837844207440735</v>
      </c>
      <c r="P21" s="10">
        <f ca="1">IF(Dashboard!$E$3=Lists!$X$6,OFFSET(P61,100*(MATCH(Dashboard!$E$11,Lists!$AB$6:$AB$7,0)-1) + 20*(MATCH(Dashboard!$E$7,Lists!$AD$6:$AD$10,0)-1),0), IF(Dashboard!$E$3=Lists!$X$7,IF(Dashboard!$E$7=2020,Vehicle!P281,Vehicle!P261), IF(Dashboard!$E$3=Lists!$X$8,P301, IF(Dashboard!$E$3=Lists!$X$9,P41,""))))</f>
        <v>30.795211499144884</v>
      </c>
      <c r="Q21" s="10">
        <f ca="1">IF(Dashboard!$E$3=Lists!$X$6,OFFSET(Q61,100*(MATCH(Dashboard!$E$11,Lists!$AB$6:$AB$7,0)-1) + 20*(MATCH(Dashboard!$E$7,Lists!$AD$6:$AD$10,0)-1),0), IF(Dashboard!$E$3=Lists!$X$7,IF(Dashboard!$E$7=2020,Vehicle!Q281,Vehicle!Q261), IF(Dashboard!$E$3=Lists!$X$8,Q301, IF(Dashboard!$E$3=Lists!$X$9,Q41,""))))</f>
        <v>63.246359749174751</v>
      </c>
      <c r="R21" s="10">
        <f ca="1">IF(Dashboard!$E$3=Lists!$X$6,OFFSET(R61,100*(MATCH(Dashboard!$E$11,Lists!$AB$6:$AB$7,0)-1) + 20*(MATCH(Dashboard!$E$7,Lists!$AD$6:$AD$10,0)-1),0), IF(Dashboard!$E$3=Lists!$X$7,IF(Dashboard!$E$7=2020,Vehicle!R281,Vehicle!R261), IF(Dashboard!$E$3=Lists!$X$8,R301, IF(Dashboard!$E$3=Lists!$X$9,R41,""))))</f>
        <v>45.923789989650061</v>
      </c>
      <c r="S21" s="10">
        <f ca="1">IF(Dashboard!$E$3=Lists!$X$6,OFFSET(S61,100*(MATCH(Dashboard!$E$11,Lists!$AB$6:$AB$7,0)-1) + 20*(MATCH(Dashboard!$E$7,Lists!$AD$6:$AD$10,0)-1),0), IF(Dashboard!$E$3=Lists!$X$7,IF(Dashboard!$E$7=2020,Vehicle!S281,Vehicle!S261), IF(Dashboard!$E$3=Lists!$X$8,S301, IF(Dashboard!$E$3=Lists!$X$9,S41,""))))</f>
        <v>71.805883896690915</v>
      </c>
      <c r="U21" t="s">
        <v>59</v>
      </c>
      <c r="V21" s="10">
        <f ca="1">IF(Dashboard!$E$3=Lists!$X$6,OFFSET(V61,100*(MATCH(Dashboard!$E$11,Lists!$AB$6:$AB$7,0)-1) + 20*(MATCH(Dashboard!$E$7,Lists!$AD$6:$AD$10,0)-1),0), IF(Dashboard!$E$3=Lists!$X$7,IF(Dashboard!$E$7=2020,Vehicle!V281,Vehicle!V261), IF(Dashboard!$E$3=Lists!$X$8,V301, IF(Dashboard!$E$3=Lists!$X$9,V41,""))))</f>
        <v>4146.8902199999993</v>
      </c>
      <c r="W21" s="10">
        <f ca="1">IF(Dashboard!$E$3=Lists!$X$6,OFFSET(W61,100*(MATCH(Dashboard!$E$11,Lists!$AB$6:$AB$7,0)-1) + 20*(MATCH(Dashboard!$E$7,Lists!$AD$6:$AD$10,0)-1),0), IF(Dashboard!$E$3=Lists!$X$7,IF(Dashboard!$E$7=2020,Vehicle!W281,Vehicle!W261), IF(Dashboard!$E$3=Lists!$X$8,W301, IF(Dashboard!$E$3=Lists!$X$9,W41,""))))</f>
        <v>4252.71198</v>
      </c>
      <c r="X21" s="10">
        <f ca="1">IF(Dashboard!$E$3=Lists!$X$6,OFFSET(X61,100*(MATCH(Dashboard!$E$11,Lists!$AB$6:$AB$7,0)-1) + 20*(MATCH(Dashboard!$E$7,Lists!$AD$6:$AD$10,0)-1),0), IF(Dashboard!$E$3=Lists!$X$7,IF(Dashboard!$E$7=2020,Vehicle!X281,Vehicle!X261), IF(Dashboard!$E$3=Lists!$X$8,X301, IF(Dashboard!$E$3=Lists!$X$9,X41,""))))</f>
        <v>4274.7581799999998</v>
      </c>
      <c r="Y21" s="10">
        <f ca="1">IF(Dashboard!$E$3=Lists!$X$6,OFFSET(Y61,100*(MATCH(Dashboard!$E$11,Lists!$AB$6:$AB$7,0)-1) + 20*(MATCH(Dashboard!$E$7,Lists!$AD$6:$AD$10,0)-1),0), IF(Dashboard!$E$3=Lists!$X$7,IF(Dashboard!$E$7=2020,Vehicle!Y281,Vehicle!Y261), IF(Dashboard!$E$3=Lists!$X$8,Y301, IF(Dashboard!$E$3=Lists!$X$9,Y41,""))))</f>
        <v>4931.7349399999994</v>
      </c>
      <c r="Z21" s="10">
        <f ca="1">IF(Dashboard!$E$3=Lists!$X$6,OFFSET(Z61,100*(MATCH(Dashboard!$E$11,Lists!$AB$6:$AB$7,0)-1) + 20*(MATCH(Dashboard!$E$7,Lists!$AD$6:$AD$10,0)-1),0), IF(Dashboard!$E$3=Lists!$X$7,IF(Dashboard!$E$7=2020,Vehicle!Z281,Vehicle!Z261), IF(Dashboard!$E$3=Lists!$X$8,Z301, IF(Dashboard!$E$3=Lists!$X$9,Z41,""))))</f>
        <v>4433.49082</v>
      </c>
      <c r="AA21" s="10">
        <f ca="1">IF(Dashboard!$E$3=Lists!$X$6,OFFSET(AA61,100*(MATCH(Dashboard!$E$11,Lists!$AB$6:$AB$7,0)-1) + 20*(MATCH(Dashboard!$E$7,Lists!$AD$6:$AD$10,0)-1),0), IF(Dashboard!$E$3=Lists!$X$7,IF(Dashboard!$E$7=2020,Vehicle!AA281,Vehicle!AA261), IF(Dashboard!$E$3=Lists!$X$8,AA301, IF(Dashboard!$E$3=Lists!$X$9,AA41,""))))</f>
        <v>4669.3851599999998</v>
      </c>
      <c r="AD21" s="36">
        <f ca="1">IF(Dashboard!$E$3=Lists!$X$6,OFFSET(AD61,100*(MATCH(Dashboard!$E$11,Lists!$AB$6:$AB$7,0)-1) + 20*(MATCH(Dashboard!$E$7,Lists!$AD$6:$AD$10,0)-1),0), IF(Dashboard!$E$3=Lists!$X$7,Vehicle!AD261, IF(Dashboard!$E$3=Lists!$X$8,AD281, IF(Dashboard!$E$3=Lists!$X$9,AD41,""))))</f>
        <v>0.74299999999999999</v>
      </c>
    </row>
    <row r="22" spans="1:47" x14ac:dyDescent="0.45">
      <c r="A22" t="s">
        <v>34</v>
      </c>
      <c r="E22" t="s">
        <v>60</v>
      </c>
      <c r="F22" s="10">
        <f ca="1">IF(Dashboard!$E$3=Lists!$X$6,$G$14*OFFSET(F62,100*(MATCH(Dashboard!$E$11,Lists!$AB$6:$AB$7,0)-1) + 20*(MATCH(Dashboard!$E$7,Lists!$AD$6:$AD$10,0)-1),0), IF(Dashboard!$E$3=Lists!$X$7,IF(Dashboard!$E$7=2020,Vehicle!F282,Vehicle!F262), IF(Dashboard!$E$3=Lists!$X$8,F302, IF(Dashboard!$E$3=Lists!$X$9,F42,""))))</f>
        <v>32406.4764</v>
      </c>
      <c r="G22" s="10">
        <f ca="1">IF(Dashboard!$E$3=Lists!$X$6,$G$14*OFFSET(G62,100*(MATCH(Dashboard!$E$11,Lists!$AB$6:$AB$7,0)-1) + 20*(MATCH(Dashboard!$E$7,Lists!$AD$6:$AD$10,0)-1),0), IF(Dashboard!$E$3=Lists!$X$7,IF(Dashboard!$E$7=2020,Vehicle!G282,Vehicle!G262), IF(Dashboard!$E$3=Lists!$X$8,G302, IF(Dashboard!$E$3=Lists!$X$9,G42,""))))</f>
        <v>37581.24555</v>
      </c>
      <c r="H22" s="10">
        <f ca="1">IF(Dashboard!$E$3=Lists!$X$6,$G$14*OFFSET(H62,100*(MATCH(Dashboard!$E$11,Lists!$AB$6:$AB$7,0)-1) + 20*(MATCH(Dashboard!$E$7,Lists!$AD$6:$AD$10,0)-1),0), IF(Dashboard!$E$3=Lists!$X$7,IF(Dashboard!$E$7=2020,Vehicle!H282,Vehicle!H262), IF(Dashboard!$E$3=Lists!$X$8,H302, IF(Dashboard!$E$3=Lists!$X$9,H42,""))))</f>
        <v>41721.138600000006</v>
      </c>
      <c r="I22" s="10">
        <f ca="1">IF(Dashboard!$E$3=Lists!$X$6,$G$14*OFFSET(I62,100*(MATCH(Dashboard!$E$11,Lists!$AB$6:$AB$7,0)-1) + 20*(MATCH(Dashboard!$E$7,Lists!$AD$6:$AD$10,0)-1),0), IF(Dashboard!$E$3=Lists!$X$7,IF(Dashboard!$E$7=2020,Vehicle!I282,Vehicle!I262), IF(Dashboard!$E$3=Lists!$X$8,I302, IF(Dashboard!$E$3=Lists!$X$9,I42,""))))</f>
        <v>59644.241249999999</v>
      </c>
      <c r="J22" s="10">
        <f ca="1">IF(Dashboard!$E$3=Lists!$X$6,$G$14*OFFSET(J62,100*(MATCH(Dashboard!$E$11,Lists!$AB$6:$AB$7,0)-1) + 20*(MATCH(Dashboard!$E$7,Lists!$AD$6:$AD$10,0)-1),0), IF(Dashboard!$E$3=Lists!$X$7,IF(Dashboard!$E$7=2020,Vehicle!J282,Vehicle!J262), IF(Dashboard!$E$3=Lists!$X$8,J302, IF(Dashboard!$E$3=Lists!$X$9,J42,""))))</f>
        <v>48456.669150000002</v>
      </c>
      <c r="K22" s="10">
        <f ca="1">IF(Dashboard!$E$3=Lists!$X$6,$G$14*OFFSET(K62,100*(MATCH(Dashboard!$E$11,Lists!$AB$6:$AB$7,0)-1) + 20*(MATCH(Dashboard!$E$7,Lists!$AD$6:$AD$10,0)-1),0), IF(Dashboard!$E$3=Lists!$X$7,IF(Dashboard!$E$7=2020,Vehicle!K282,Vehicle!K262), IF(Dashboard!$E$3=Lists!$X$8,K302, IF(Dashboard!$E$3=Lists!$X$9,K42,""))))</f>
        <v>58919.822250000005</v>
      </c>
      <c r="M22" t="s">
        <v>60</v>
      </c>
      <c r="N22" s="10">
        <f ca="1">IF(Dashboard!$E$3=Lists!$X$6,OFFSET(N62,100*(MATCH(Dashboard!$E$11,Lists!$AB$6:$AB$7,0)-1) + 20*(MATCH(Dashboard!$E$7,Lists!$AD$6:$AD$10,0)-1),0), IF(Dashboard!$E$3=Lists!$X$7,IF(Dashboard!$E$7=2020,Vehicle!N282,Vehicle!N262), IF(Dashboard!$E$3=Lists!$X$8,N302, IF(Dashboard!$E$3=Lists!$X$9,N42,""))))</f>
        <v>17.07124771700434</v>
      </c>
      <c r="O22" s="10">
        <f ca="1">IF(Dashboard!$E$3=Lists!$X$6,OFFSET(O62,100*(MATCH(Dashboard!$E$11,Lists!$AB$6:$AB$7,0)-1) + 20*(MATCH(Dashboard!$E$7,Lists!$AD$6:$AD$10,0)-1),0), IF(Dashboard!$E$3=Lists!$X$7,IF(Dashboard!$E$7=2020,Vehicle!O282,Vehicle!O262), IF(Dashboard!$E$3=Lists!$X$8,O302, IF(Dashboard!$E$3=Lists!$X$9,O42,""))))</f>
        <v>19.973460702763319</v>
      </c>
      <c r="P22" s="10">
        <f ca="1">IF(Dashboard!$E$3=Lists!$X$6,OFFSET(P62,100*(MATCH(Dashboard!$E$11,Lists!$AB$6:$AB$7,0)-1) + 20*(MATCH(Dashboard!$E$7,Lists!$AD$6:$AD$10,0)-1),0), IF(Dashboard!$E$3=Lists!$X$7,IF(Dashboard!$E$7=2020,Vehicle!P282,Vehicle!P262), IF(Dashboard!$E$3=Lists!$X$8,P302, IF(Dashboard!$E$3=Lists!$X$9,P42,""))))</f>
        <v>25.406167077329563</v>
      </c>
      <c r="Q22" s="10">
        <f ca="1">IF(Dashboard!$E$3=Lists!$X$6,OFFSET(Q62,100*(MATCH(Dashboard!$E$11,Lists!$AB$6:$AB$7,0)-1) + 20*(MATCH(Dashboard!$E$7,Lists!$AD$6:$AD$10,0)-1),0), IF(Dashboard!$E$3=Lists!$X$7,IF(Dashboard!$E$7=2020,Vehicle!Q282,Vehicle!Q262), IF(Dashboard!$E$3=Lists!$X$8,Q302, IF(Dashboard!$E$3=Lists!$X$9,Q42,""))))</f>
        <v>52.645417693446085</v>
      </c>
      <c r="R22" s="10">
        <f ca="1">IF(Dashboard!$E$3=Lists!$X$6,OFFSET(R62,100*(MATCH(Dashboard!$E$11,Lists!$AB$6:$AB$7,0)-1) + 20*(MATCH(Dashboard!$E$7,Lists!$AD$6:$AD$10,0)-1),0), IF(Dashboard!$E$3=Lists!$X$7,IF(Dashboard!$E$7=2020,Vehicle!R282,Vehicle!R262), IF(Dashboard!$E$3=Lists!$X$8,R302, IF(Dashboard!$E$3=Lists!$X$9,R42,""))))</f>
        <v>37.514495579942583</v>
      </c>
      <c r="S22" s="10">
        <f ca="1">IF(Dashboard!$E$3=Lists!$X$6,OFFSET(S62,100*(MATCH(Dashboard!$E$11,Lists!$AB$6:$AB$7,0)-1) + 20*(MATCH(Dashboard!$E$7,Lists!$AD$6:$AD$10,0)-1),0), IF(Dashboard!$E$3=Lists!$X$7,IF(Dashboard!$E$7=2020,Vehicle!S282,Vehicle!S262), IF(Dashboard!$E$3=Lists!$X$8,S302, IF(Dashboard!$E$3=Lists!$X$9,S42,""))))</f>
        <v>61.263014847360012</v>
      </c>
      <c r="U22" t="s">
        <v>60</v>
      </c>
      <c r="V22" s="10">
        <f ca="1">IF(Dashboard!$E$3=Lists!$X$6,OFFSET(V62,100*(MATCH(Dashboard!$E$11,Lists!$AB$6:$AB$7,0)-1) + 20*(MATCH(Dashboard!$E$7,Lists!$AD$6:$AD$10,0)-1),0), IF(Dashboard!$E$3=Lists!$X$7,IF(Dashboard!$E$7=2020,Vehicle!V282,Vehicle!V262), IF(Dashboard!$E$3=Lists!$X$8,V302, IF(Dashboard!$E$3=Lists!$X$9,V42,""))))</f>
        <v>4737.7283799999996</v>
      </c>
      <c r="W22" s="10">
        <f ca="1">IF(Dashboard!$E$3=Lists!$X$6,OFFSET(W62,100*(MATCH(Dashboard!$E$11,Lists!$AB$6:$AB$7,0)-1) + 20*(MATCH(Dashboard!$E$7,Lists!$AD$6:$AD$10,0)-1),0), IF(Dashboard!$E$3=Lists!$X$7,IF(Dashboard!$E$7=2020,Vehicle!W282,Vehicle!W262), IF(Dashboard!$E$3=Lists!$X$8,W302, IF(Dashboard!$E$3=Lists!$X$9,W42,""))))</f>
        <v>4874.41482</v>
      </c>
      <c r="X22" s="10">
        <f ca="1">IF(Dashboard!$E$3=Lists!$X$6,OFFSET(X62,100*(MATCH(Dashboard!$E$11,Lists!$AB$6:$AB$7,0)-1) + 20*(MATCH(Dashboard!$E$7,Lists!$AD$6:$AD$10,0)-1),0), IF(Dashboard!$E$3=Lists!$X$7,IF(Dashboard!$E$7=2020,Vehicle!X282,Vehicle!X262), IF(Dashboard!$E$3=Lists!$X$8,X302, IF(Dashboard!$E$3=Lists!$X$9,X42,""))))</f>
        <v>4821.5039399999996</v>
      </c>
      <c r="Y22" s="10">
        <f ca="1">IF(Dashboard!$E$3=Lists!$X$6,OFFSET(Y62,100*(MATCH(Dashboard!$E$11,Lists!$AB$6:$AB$7,0)-1) + 20*(MATCH(Dashboard!$E$7,Lists!$AD$6:$AD$10,0)-1),0), IF(Dashboard!$E$3=Lists!$X$7,IF(Dashboard!$E$7=2020,Vehicle!Y282,Vehicle!Y262), IF(Dashboard!$E$3=Lists!$X$8,Y302, IF(Dashboard!$E$3=Lists!$X$9,Y42,""))))</f>
        <v>5579.8932199999999</v>
      </c>
      <c r="Z22" s="10">
        <f ca="1">IF(Dashboard!$E$3=Lists!$X$6,OFFSET(Z62,100*(MATCH(Dashboard!$E$11,Lists!$AB$6:$AB$7,0)-1) + 20*(MATCH(Dashboard!$E$7,Lists!$AD$6:$AD$10,0)-1),0), IF(Dashboard!$E$3=Lists!$X$7,IF(Dashboard!$E$7=2020,Vehicle!Z282,Vehicle!Z262), IF(Dashboard!$E$3=Lists!$X$8,Z302, IF(Dashboard!$E$3=Lists!$X$9,Z42,""))))</f>
        <v>5172.0385199999992</v>
      </c>
      <c r="AA22" s="10">
        <f ca="1">IF(Dashboard!$E$3=Lists!$X$6,OFFSET(AA62,100*(MATCH(Dashboard!$E$11,Lists!$AB$6:$AB$7,0)-1) + 20*(MATCH(Dashboard!$E$7,Lists!$AD$6:$AD$10,0)-1),0), IF(Dashboard!$E$3=Lists!$X$7,IF(Dashboard!$E$7=2020,Vehicle!AA282,Vehicle!AA262), IF(Dashboard!$E$3=Lists!$X$8,AA302, IF(Dashboard!$E$3=Lists!$X$9,AA42,""))))</f>
        <v>5260.2233199999991</v>
      </c>
      <c r="AD22" s="36">
        <f ca="1">IF(Dashboard!$E$3=Lists!$X$6,OFFSET(AD62,100*(MATCH(Dashboard!$E$11,Lists!$AB$6:$AB$7,0)-1) + 20*(MATCH(Dashboard!$E$7,Lists!$AD$6:$AD$10,0)-1),0), IF(Dashboard!$E$3=Lists!$X$7,Vehicle!AD262, IF(Dashboard!$E$3=Lists!$X$8,AD282, IF(Dashboard!$E$3=Lists!$X$9,AD42,""))))</f>
        <v>0.74299999999999999</v>
      </c>
    </row>
    <row r="23" spans="1:47" x14ac:dyDescent="0.45">
      <c r="A23" s="4">
        <v>0.12</v>
      </c>
      <c r="E23" t="s">
        <v>119</v>
      </c>
      <c r="F23" s="10">
        <f ca="1">IF(Dashboard!$E$3=Lists!$X$6,$G$14*OFFSET(F63,100*(MATCH(Dashboard!$E$11,Lists!$AB$6:$AB$7,0)-1) + 20*(MATCH(Dashboard!$E$7,Lists!$AD$6:$AD$10,0)-1),0), IF(Dashboard!$E$3=Lists!$X$7,IF(Dashboard!$E$7=2020,Vehicle!F283,Vehicle!F263), IF(Dashboard!$E$3=Lists!$X$8,F303, IF(Dashboard!$E$3=Lists!$X$9,F43,""))))</f>
        <v>20066.02245</v>
      </c>
      <c r="G23" s="10">
        <f ca="1">IF(Dashboard!$E$3=Lists!$X$6,$G$14*OFFSET(G63,100*(MATCH(Dashboard!$E$11,Lists!$AB$6:$AB$7,0)-1) + 20*(MATCH(Dashboard!$E$7,Lists!$AD$6:$AD$10,0)-1),0), IF(Dashboard!$E$3=Lists!$X$7,IF(Dashboard!$E$7=2020,Vehicle!G283,Vehicle!G263), IF(Dashboard!$E$3=Lists!$X$8,G303, IF(Dashboard!$E$3=Lists!$X$9,G43,""))))</f>
        <v>23724.343049999999</v>
      </c>
      <c r="H23" s="10">
        <f ca="1">IF(Dashboard!$E$3=Lists!$X$6,$G$14*OFFSET(H63,100*(MATCH(Dashboard!$E$11,Lists!$AB$6:$AB$7,0)-1) + 20*(MATCH(Dashboard!$E$7,Lists!$AD$6:$AD$10,0)-1),0), IF(Dashboard!$E$3=Lists!$X$7,IF(Dashboard!$E$7=2020,Vehicle!H283,Vehicle!H263), IF(Dashboard!$E$3=Lists!$X$8,H303, IF(Dashboard!$E$3=Lists!$X$9,H43,""))))</f>
        <v>25547.276849999998</v>
      </c>
      <c r="I23" s="10">
        <f ca="1">IF(Dashboard!$E$3=Lists!$X$6,$G$14*OFFSET(I63,100*(MATCH(Dashboard!$E$11,Lists!$AB$6:$AB$7,0)-1) + 20*(MATCH(Dashboard!$E$7,Lists!$AD$6:$AD$10,0)-1),0), IF(Dashboard!$E$3=Lists!$X$7,IF(Dashboard!$E$7=2020,Vehicle!I283,Vehicle!I263), IF(Dashboard!$E$3=Lists!$X$8,I303, IF(Dashboard!$E$3=Lists!$X$9,I43,""))))</f>
        <v>39150.970350000003</v>
      </c>
      <c r="J23" s="10">
        <f ca="1">IF(Dashboard!$E$3=Lists!$X$6,$G$14*OFFSET(J63,100*(MATCH(Dashboard!$E$11,Lists!$AB$6:$AB$7,0)-1) + 20*(MATCH(Dashboard!$E$7,Lists!$AD$6:$AD$10,0)-1),0), IF(Dashboard!$E$3=Lists!$X$7,IF(Dashboard!$E$7=2020,Vehicle!J283,Vehicle!J263), IF(Dashboard!$E$3=Lists!$X$8,J303, IF(Dashboard!$E$3=Lists!$X$9,J43,""))))</f>
        <v>29322.058650000003</v>
      </c>
      <c r="K23" s="10">
        <f ca="1">IF(Dashboard!$E$3=Lists!$X$6,$G$14*OFFSET(K63,100*(MATCH(Dashboard!$E$11,Lists!$AB$6:$AB$7,0)-1) + 20*(MATCH(Dashboard!$E$7,Lists!$AD$6:$AD$10,0)-1),0), IF(Dashboard!$E$3=Lists!$X$7,IF(Dashboard!$E$7=2020,Vehicle!K283,Vehicle!K263), IF(Dashboard!$E$3=Lists!$X$8,K303, IF(Dashboard!$E$3=Lists!$X$9,K43,""))))</f>
        <v>36358.579949999999</v>
      </c>
      <c r="M23" t="s">
        <v>119</v>
      </c>
      <c r="N23" s="10">
        <f ca="1">IF(Dashboard!$E$3=Lists!$X$6,OFFSET(N63,100*(MATCH(Dashboard!$E$11,Lists!$AB$6:$AB$7,0)-1) + 20*(MATCH(Dashboard!$E$7,Lists!$AD$6:$AD$10,0)-1),0), IF(Dashboard!$E$3=Lists!$X$7,IF(Dashboard!$E$7=2020,Vehicle!N283,Vehicle!N263), IF(Dashboard!$E$3=Lists!$X$8,N303, IF(Dashboard!$E$3=Lists!$X$9,N43,""))))</f>
        <v>24.49093963239185</v>
      </c>
      <c r="O23" s="10">
        <f ca="1">IF(Dashboard!$E$3=Lists!$X$6,OFFSET(O63,100*(MATCH(Dashboard!$E$11,Lists!$AB$6:$AB$7,0)-1) + 20*(MATCH(Dashboard!$E$7,Lists!$AD$6:$AD$10,0)-1),0), IF(Dashboard!$E$3=Lists!$X$7,IF(Dashboard!$E$7=2020,Vehicle!O283,Vehicle!O263), IF(Dashboard!$E$3=Lists!$X$8,O303, IF(Dashboard!$E$3=Lists!$X$9,O43,""))))</f>
        <v>27.630206491187785</v>
      </c>
      <c r="P23" s="10">
        <f ca="1">IF(Dashboard!$E$3=Lists!$X$6,OFFSET(P63,100*(MATCH(Dashboard!$E$11,Lists!$AB$6:$AB$7,0)-1) + 20*(MATCH(Dashboard!$E$7,Lists!$AD$6:$AD$10,0)-1),0), IF(Dashboard!$E$3=Lists!$X$7,IF(Dashboard!$E$7=2020,Vehicle!P283,Vehicle!P263), IF(Dashboard!$E$3=Lists!$X$8,P303, IF(Dashboard!$E$3=Lists!$X$9,P43,""))))</f>
        <v>36.706474649307104</v>
      </c>
      <c r="Q23" s="10">
        <f ca="1">IF(Dashboard!$E$3=Lists!$X$6,OFFSET(Q63,100*(MATCH(Dashboard!$E$11,Lists!$AB$6:$AB$7,0)-1) + 20*(MATCH(Dashboard!$E$7,Lists!$AD$6:$AD$10,0)-1),0), IF(Dashboard!$E$3=Lists!$X$7,IF(Dashboard!$E$7=2020,Vehicle!Q283,Vehicle!Q263), IF(Dashboard!$E$3=Lists!$X$8,Q303, IF(Dashboard!$E$3=Lists!$X$9,Q43,""))))</f>
        <v>80.461910631125718</v>
      </c>
      <c r="R23" s="10">
        <f ca="1">IF(Dashboard!$E$3=Lists!$X$6,OFFSET(R63,100*(MATCH(Dashboard!$E$11,Lists!$AB$6:$AB$7,0)-1) + 20*(MATCH(Dashboard!$E$7,Lists!$AD$6:$AD$10,0)-1),0), IF(Dashboard!$E$3=Lists!$X$7,IF(Dashboard!$E$7=2020,Vehicle!R283,Vehicle!R263), IF(Dashboard!$E$3=Lists!$X$8,R303, IF(Dashboard!$E$3=Lists!$X$9,R43,""))))</f>
        <v>57.890204875288255</v>
      </c>
      <c r="S23" s="10">
        <f ca="1">IF(Dashboard!$E$3=Lists!$X$6,OFFSET(S63,100*(MATCH(Dashboard!$E$11,Lists!$AB$6:$AB$7,0)-1) + 20*(MATCH(Dashboard!$E$7,Lists!$AD$6:$AD$10,0)-1),0), IF(Dashboard!$E$3=Lists!$X$7,IF(Dashboard!$E$7=2020,Vehicle!S283,Vehicle!S263), IF(Dashboard!$E$3=Lists!$X$8,S303, IF(Dashboard!$E$3=Lists!$X$9,S43,""))))</f>
        <v>94.060439808607327</v>
      </c>
      <c r="U23" t="s">
        <v>119</v>
      </c>
      <c r="V23" s="10">
        <f ca="1">IF(Dashboard!$E$3=Lists!$X$6,OFFSET(V63,100*(MATCH(Dashboard!$E$11,Lists!$AB$6:$AB$7,0)-1) + 20*(MATCH(Dashboard!$E$7,Lists!$AD$6:$AD$10,0)-1),0), IF(Dashboard!$E$3=Lists!$X$7,IF(Dashboard!$E$7=2020,Vehicle!V283,Vehicle!V263), IF(Dashboard!$E$3=Lists!$X$8,V303, IF(Dashboard!$E$3=Lists!$X$9,V43,""))))</f>
        <v>3496.5273199999997</v>
      </c>
      <c r="W23" s="10">
        <f ca="1">IF(Dashboard!$E$3=Lists!$X$6,OFFSET(W63,100*(MATCH(Dashboard!$E$11,Lists!$AB$6:$AB$7,0)-1) + 20*(MATCH(Dashboard!$E$7,Lists!$AD$6:$AD$10,0)-1),0), IF(Dashboard!$E$3=Lists!$X$7,IF(Dashboard!$E$7=2020,Vehicle!W283,Vehicle!W263), IF(Dashboard!$E$3=Lists!$X$8,W303, IF(Dashboard!$E$3=Lists!$X$9,W43,""))))</f>
        <v>3608.9629399999999</v>
      </c>
      <c r="X23" s="10">
        <f ca="1">IF(Dashboard!$E$3=Lists!$X$6,OFFSET(X63,100*(MATCH(Dashboard!$E$11,Lists!$AB$6:$AB$7,0)-1) + 20*(MATCH(Dashboard!$E$7,Lists!$AD$6:$AD$10,0)-1),0), IF(Dashboard!$E$3=Lists!$X$7,IF(Dashboard!$E$7=2020,Vehicle!X283,Vehicle!X263), IF(Dashboard!$E$3=Lists!$X$8,X303, IF(Dashboard!$E$3=Lists!$X$9,X43,""))))</f>
        <v>3569.2797799999998</v>
      </c>
      <c r="Y23" s="10">
        <f ca="1">IF(Dashboard!$E$3=Lists!$X$6,OFFSET(Y63,100*(MATCH(Dashboard!$E$11,Lists!$AB$6:$AB$7,0)-1) + 20*(MATCH(Dashboard!$E$7,Lists!$AD$6:$AD$10,0)-1),0), IF(Dashboard!$E$3=Lists!$X$7,IF(Dashboard!$E$7=2020,Vehicle!Y283,Vehicle!Y263), IF(Dashboard!$E$3=Lists!$X$8,Y303, IF(Dashboard!$E$3=Lists!$X$9,Y43,""))))</f>
        <v>4096.1839599999994</v>
      </c>
      <c r="Z23" s="10">
        <f ca="1">IF(Dashboard!$E$3=Lists!$X$6,OFFSET(Z63,100*(MATCH(Dashboard!$E$11,Lists!$AB$6:$AB$7,0)-1) + 20*(MATCH(Dashboard!$E$7,Lists!$AD$6:$AD$10,0)-1),0), IF(Dashboard!$E$3=Lists!$X$7,IF(Dashboard!$E$7=2020,Vehicle!Z283,Vehicle!Z263), IF(Dashboard!$E$3=Lists!$X$8,Z303, IF(Dashboard!$E$3=Lists!$X$9,Z43,""))))</f>
        <v>3708.1708399999998</v>
      </c>
      <c r="AA23" s="10">
        <f ca="1">IF(Dashboard!$E$3=Lists!$X$6,OFFSET(AA63,100*(MATCH(Dashboard!$E$11,Lists!$AB$6:$AB$7,0)-1) + 20*(MATCH(Dashboard!$E$7,Lists!$AD$6:$AD$10,0)-1),0), IF(Dashboard!$E$3=Lists!$X$7,IF(Dashboard!$E$7=2020,Vehicle!AA283,Vehicle!AA263), IF(Dashboard!$E$3=Lists!$X$8,AA303, IF(Dashboard!$E$3=Lists!$X$9,AA43,""))))</f>
        <v>3802.9694999999997</v>
      </c>
      <c r="AD23" s="36">
        <f ca="1">IF(Dashboard!$E$3=Lists!$X$6,OFFSET(AD63,100*(MATCH(Dashboard!$E$11,Lists!$AB$6:$AB$7,0)-1) + 20*(MATCH(Dashboard!$E$7,Lists!$AD$6:$AD$10,0)-1),0), IF(Dashboard!$E$3=Lists!$X$7,Vehicle!AD263, IF(Dashboard!$E$3=Lists!$X$8,AD283, IF(Dashboard!$E$3=Lists!$X$9,AD43,""))))</f>
        <v>0.74299999999999999</v>
      </c>
    </row>
    <row r="24" spans="1:47" x14ac:dyDescent="0.45">
      <c r="E24" t="s">
        <v>120</v>
      </c>
      <c r="F24" s="10">
        <f ca="1">IF(Dashboard!$E$3=Lists!$X$6,$G$14*OFFSET(F64,100*(MATCH(Dashboard!$E$11,Lists!$AB$6:$AB$7,0)-1) + 20*(MATCH(Dashboard!$E$7,Lists!$AD$6:$AD$10,0)-1),0), IF(Dashboard!$E$3=Lists!$X$7,IF(Dashboard!$E$7=2020,Vehicle!F284,Vehicle!F264), IF(Dashboard!$E$3=Lists!$X$8,F304, IF(Dashboard!$E$3=Lists!$X$9,F44,""))))</f>
        <v>26169.560399999998</v>
      </c>
      <c r="G24" s="10">
        <f ca="1">IF(Dashboard!$E$3=Lists!$X$6,$G$14*OFFSET(G64,100*(MATCH(Dashboard!$E$11,Lists!$AB$6:$AB$7,0)-1) + 20*(MATCH(Dashboard!$E$7,Lists!$AD$6:$AD$10,0)-1),0), IF(Dashboard!$E$3=Lists!$X$7,IF(Dashboard!$E$7=2020,Vehicle!G284,Vehicle!G264), IF(Dashboard!$E$3=Lists!$X$8,G304, IF(Dashboard!$E$3=Lists!$X$9,G44,""))))</f>
        <v>31389.675000000003</v>
      </c>
      <c r="H24" s="10">
        <f ca="1">IF(Dashboard!$E$3=Lists!$X$6,$G$14*OFFSET(H64,100*(MATCH(Dashboard!$E$11,Lists!$AB$6:$AB$7,0)-1) + 20*(MATCH(Dashboard!$E$7,Lists!$AD$6:$AD$10,0)-1),0), IF(Dashboard!$E$3=Lists!$X$7,IF(Dashboard!$E$7=2020,Vehicle!H284,Vehicle!H264), IF(Dashboard!$E$3=Lists!$X$8,H304, IF(Dashboard!$E$3=Lists!$X$9,H44,""))))</f>
        <v>32885.178449999999</v>
      </c>
      <c r="I24" s="10">
        <f ca="1">IF(Dashboard!$E$3=Lists!$X$6,$G$14*OFFSET(I64,100*(MATCH(Dashboard!$E$11,Lists!$AB$6:$AB$7,0)-1) + 20*(MATCH(Dashboard!$E$7,Lists!$AD$6:$AD$10,0)-1),0), IF(Dashboard!$E$3=Lists!$X$7,IF(Dashboard!$E$7=2020,Vehicle!I284,Vehicle!I264), IF(Dashboard!$E$3=Lists!$X$8,I304, IF(Dashboard!$E$3=Lists!$X$9,I44,""))))</f>
        <v>48031.465499999998</v>
      </c>
      <c r="J24" s="10">
        <f ca="1">IF(Dashboard!$E$3=Lists!$X$6,$G$14*OFFSET(J64,100*(MATCH(Dashboard!$E$11,Lists!$AB$6:$AB$7,0)-1) + 20*(MATCH(Dashboard!$E$7,Lists!$AD$6:$AD$10,0)-1),0), IF(Dashboard!$E$3=Lists!$X$7,IF(Dashboard!$E$7=2020,Vehicle!J284,Vehicle!J264), IF(Dashboard!$E$3=Lists!$X$8,J304, IF(Dashboard!$E$3=Lists!$X$9,J44,""))))</f>
        <v>40069.352549999996</v>
      </c>
      <c r="K24" s="10">
        <f ca="1">IF(Dashboard!$E$3=Lists!$X$6,$G$14*OFFSET(K64,100*(MATCH(Dashboard!$E$11,Lists!$AB$6:$AB$7,0)-1) + 20*(MATCH(Dashboard!$E$7,Lists!$AD$6:$AD$10,0)-1),0), IF(Dashboard!$E$3=Lists!$X$7,IF(Dashboard!$E$7=2020,Vehicle!K284,Vehicle!K264), IF(Dashboard!$E$3=Lists!$X$8,K304, IF(Dashboard!$E$3=Lists!$X$9,K44,""))))</f>
        <v>43307.654699999999</v>
      </c>
      <c r="M24" t="s">
        <v>120</v>
      </c>
      <c r="N24" s="10">
        <f ca="1">IF(Dashboard!$E$3=Lists!$X$6,OFFSET(N64,100*(MATCH(Dashboard!$E$11,Lists!$AB$6:$AB$7,0)-1) + 20*(MATCH(Dashboard!$E$7,Lists!$AD$6:$AD$10,0)-1),0), IF(Dashboard!$E$3=Lists!$X$7,IF(Dashboard!$E$7=2020,Vehicle!N284,Vehicle!N264), IF(Dashboard!$E$3=Lists!$X$8,N304, IF(Dashboard!$E$3=Lists!$X$9,N44,""))))</f>
        <v>19.463899934173373</v>
      </c>
      <c r="O24" s="10">
        <f ca="1">IF(Dashboard!$E$3=Lists!$X$6,OFFSET(O64,100*(MATCH(Dashboard!$E$11,Lists!$AB$6:$AB$7,0)-1) + 20*(MATCH(Dashboard!$E$7,Lists!$AD$6:$AD$10,0)-1),0), IF(Dashboard!$E$3=Lists!$X$7,IF(Dashboard!$E$7=2020,Vehicle!O284,Vehicle!O264), IF(Dashboard!$E$3=Lists!$X$8,O304, IF(Dashboard!$E$3=Lists!$X$9,O44,""))))</f>
        <v>23.740868960365209</v>
      </c>
      <c r="P24" s="10">
        <f ca="1">IF(Dashboard!$E$3=Lists!$X$6,OFFSET(P64,100*(MATCH(Dashboard!$E$11,Lists!$AB$6:$AB$7,0)-1) + 20*(MATCH(Dashboard!$E$7,Lists!$AD$6:$AD$10,0)-1),0), IF(Dashboard!$E$3=Lists!$X$7,IF(Dashboard!$E$7=2020,Vehicle!P284,Vehicle!P264), IF(Dashboard!$E$3=Lists!$X$8,P304, IF(Dashboard!$E$3=Lists!$X$9,P44,""))))</f>
        <v>32.416147712512441</v>
      </c>
      <c r="Q24" s="10">
        <f ca="1">IF(Dashboard!$E$3=Lists!$X$6,OFFSET(Q64,100*(MATCH(Dashboard!$E$11,Lists!$AB$6:$AB$7,0)-1) + 20*(MATCH(Dashboard!$E$7,Lists!$AD$6:$AD$10,0)-1),0), IF(Dashboard!$E$3=Lists!$X$7,IF(Dashboard!$E$7=2020,Vehicle!Q284,Vehicle!Q264), IF(Dashboard!$E$3=Lists!$X$8,Q304, IF(Dashboard!$E$3=Lists!$X$9,Q44,""))))</f>
        <v>72.482865004834125</v>
      </c>
      <c r="R24" s="10">
        <f ca="1">IF(Dashboard!$E$3=Lists!$X$6,OFFSET(R64,100*(MATCH(Dashboard!$E$11,Lists!$AB$6:$AB$7,0)-1) + 20*(MATCH(Dashboard!$E$7,Lists!$AD$6:$AD$10,0)-1),0), IF(Dashboard!$E$3=Lists!$X$7,IF(Dashboard!$E$7=2020,Vehicle!R284,Vehicle!R264), IF(Dashboard!$E$3=Lists!$X$8,R304, IF(Dashboard!$E$3=Lists!$X$9,R44,""))))</f>
        <v>49.393317555478575</v>
      </c>
      <c r="S24" s="10">
        <f ca="1">IF(Dashboard!$E$3=Lists!$X$6,OFFSET(S64,100*(MATCH(Dashboard!$E$11,Lists!$AB$6:$AB$7,0)-1) + 20*(MATCH(Dashboard!$E$7,Lists!$AD$6:$AD$10,0)-1),0), IF(Dashboard!$E$3=Lists!$X$7,IF(Dashboard!$E$7=2020,Vehicle!S284,Vehicle!S264), IF(Dashboard!$E$3=Lists!$X$8,S304, IF(Dashboard!$E$3=Lists!$X$9,S44,""))))</f>
        <v>87.119232645527177</v>
      </c>
      <c r="U24" t="s">
        <v>120</v>
      </c>
      <c r="V24" s="10">
        <f ca="1">IF(Dashboard!$E$3=Lists!$X$6,OFFSET(V64,100*(MATCH(Dashboard!$E$11,Lists!$AB$6:$AB$7,0)-1) + 20*(MATCH(Dashboard!$E$7,Lists!$AD$6:$AD$10,0)-1),0), IF(Dashboard!$E$3=Lists!$X$7,IF(Dashboard!$E$7=2020,Vehicle!V284,Vehicle!V264), IF(Dashboard!$E$3=Lists!$X$8,V304, IF(Dashboard!$E$3=Lists!$X$9,V44,""))))</f>
        <v>4116.0255399999996</v>
      </c>
      <c r="W24" s="10">
        <f ca="1">IF(Dashboard!$E$3=Lists!$X$6,OFFSET(W64,100*(MATCH(Dashboard!$E$11,Lists!$AB$6:$AB$7,0)-1) + 20*(MATCH(Dashboard!$E$7,Lists!$AD$6:$AD$10,0)-1),0), IF(Dashboard!$E$3=Lists!$X$7,IF(Dashboard!$E$7=2020,Vehicle!W284,Vehicle!W264), IF(Dashboard!$E$3=Lists!$X$8,W304, IF(Dashboard!$E$3=Lists!$X$9,W44,""))))</f>
        <v>4257.12122</v>
      </c>
      <c r="X24" s="10">
        <f ca="1">IF(Dashboard!$E$3=Lists!$X$6,OFFSET(X64,100*(MATCH(Dashboard!$E$11,Lists!$AB$6:$AB$7,0)-1) + 20*(MATCH(Dashboard!$E$7,Lists!$AD$6:$AD$10,0)-1),0), IF(Dashboard!$E$3=Lists!$X$7,IF(Dashboard!$E$7=2020,Vehicle!X284,Vehicle!X264), IF(Dashboard!$E$3=Lists!$X$8,X304, IF(Dashboard!$E$3=Lists!$X$9,X44,""))))</f>
        <v>4157.9133199999997</v>
      </c>
      <c r="Y24" s="10">
        <f ca="1">IF(Dashboard!$E$3=Lists!$X$6,OFFSET(Y64,100*(MATCH(Dashboard!$E$11,Lists!$AB$6:$AB$7,0)-1) + 20*(MATCH(Dashboard!$E$7,Lists!$AD$6:$AD$10,0)-1),0), IF(Dashboard!$E$3=Lists!$X$7,IF(Dashboard!$E$7=2020,Vehicle!Y284,Vehicle!Y264), IF(Dashboard!$E$3=Lists!$X$8,Y304, IF(Dashboard!$E$3=Lists!$X$9,Y44,""))))</f>
        <v>4733.3191399999996</v>
      </c>
      <c r="Z24" s="10">
        <f ca="1">IF(Dashboard!$E$3=Lists!$X$6,OFFSET(Z64,100*(MATCH(Dashboard!$E$11,Lists!$AB$6:$AB$7,0)-1) + 20*(MATCH(Dashboard!$E$7,Lists!$AD$6:$AD$10,0)-1),0), IF(Dashboard!$E$3=Lists!$X$7,IF(Dashboard!$E$7=2020,Vehicle!Z284,Vehicle!Z264), IF(Dashboard!$E$3=Lists!$X$8,Z304, IF(Dashboard!$E$3=Lists!$X$9,Z44,""))))</f>
        <v>4457.7416399999993</v>
      </c>
      <c r="AA24" s="10">
        <f ca="1">IF(Dashboard!$E$3=Lists!$X$6,OFFSET(AA64,100*(MATCH(Dashboard!$E$11,Lists!$AB$6:$AB$7,0)-1) + 20*(MATCH(Dashboard!$E$7,Lists!$AD$6:$AD$10,0)-1),0), IF(Dashboard!$E$3=Lists!$X$7,IF(Dashboard!$E$7=2020,Vehicle!AA284,Vehicle!AA264), IF(Dashboard!$E$3=Lists!$X$8,AA304, IF(Dashboard!$E$3=Lists!$X$9,AA44,""))))</f>
        <v>4343.1013999999996</v>
      </c>
      <c r="AD24" s="36">
        <f ca="1">IF(Dashboard!$E$3=Lists!$X$6,OFFSET(AD64,100*(MATCH(Dashboard!$E$11,Lists!$AB$6:$AB$7,0)-1) + 20*(MATCH(Dashboard!$E$7,Lists!$AD$6:$AD$10,0)-1),0), IF(Dashboard!$E$3=Lists!$X$7,Vehicle!AD264, IF(Dashboard!$E$3=Lists!$X$8,AD284, IF(Dashboard!$E$3=Lists!$X$9,AD44,""))))</f>
        <v>0.74299999999999999</v>
      </c>
    </row>
    <row r="25" spans="1:47" x14ac:dyDescent="0.45">
      <c r="E25" t="s">
        <v>121</v>
      </c>
      <c r="F25" s="10">
        <f ca="1">IF(Dashboard!$E$3=Lists!$X$6,$G$14*OFFSET(F65,100*(MATCH(Dashboard!$E$11,Lists!$AB$6:$AB$7,0)-1) + 20*(MATCH(Dashboard!$E$7,Lists!$AD$6:$AD$10,0)-1),0), IF(Dashboard!$E$3=Lists!$X$7,IF(Dashboard!$E$7=2020,Vehicle!F285,Vehicle!F265), IF(Dashboard!$E$3=Lists!$X$8,F305, IF(Dashboard!$E$3=Lists!$X$9,F45,""))))</f>
        <v>28569.460350000001</v>
      </c>
      <c r="G25" s="10">
        <f ca="1">IF(Dashboard!$E$3=Lists!$X$6,$G$14*OFFSET(G65,100*(MATCH(Dashboard!$E$11,Lists!$AB$6:$AB$7,0)-1) + 20*(MATCH(Dashboard!$E$7,Lists!$AD$6:$AD$10,0)-1),0), IF(Dashboard!$E$3=Lists!$X$7,IF(Dashboard!$E$7=2020,Vehicle!G285,Vehicle!G265), IF(Dashboard!$E$3=Lists!$X$8,G305, IF(Dashboard!$E$3=Lists!$X$9,G45,""))))</f>
        <v>33483.879150000001</v>
      </c>
      <c r="H25" s="10">
        <f ca="1">IF(Dashboard!$E$3=Lists!$X$6,$G$14*OFFSET(H65,100*(MATCH(Dashboard!$E$11,Lists!$AB$6:$AB$7,0)-1) + 20*(MATCH(Dashboard!$E$7,Lists!$AD$6:$AD$10,0)-1),0), IF(Dashboard!$E$3=Lists!$X$7,IF(Dashboard!$E$7=2020,Vehicle!H285,Vehicle!H265), IF(Dashboard!$E$3=Lists!$X$8,H305, IF(Dashboard!$E$3=Lists!$X$9,H45,""))))</f>
        <v>35619.26685</v>
      </c>
      <c r="I25" s="10">
        <f ca="1">IF(Dashboard!$E$3=Lists!$X$6,$G$14*OFFSET(I65,100*(MATCH(Dashboard!$E$11,Lists!$AB$6:$AB$7,0)-1) + 20*(MATCH(Dashboard!$E$7,Lists!$AD$6:$AD$10,0)-1),0), IF(Dashboard!$E$3=Lists!$X$7,IF(Dashboard!$E$7=2020,Vehicle!I285,Vehicle!I265), IF(Dashboard!$E$3=Lists!$X$8,I305, IF(Dashboard!$E$3=Lists!$X$9,I45,""))))</f>
        <v>51710.964000000007</v>
      </c>
      <c r="J25" s="10">
        <f ca="1">IF(Dashboard!$E$3=Lists!$X$6,$G$14*OFFSET(J65,100*(MATCH(Dashboard!$E$11,Lists!$AB$6:$AB$7,0)-1) + 20*(MATCH(Dashboard!$E$7,Lists!$AD$6:$AD$10,0)-1),0), IF(Dashboard!$E$3=Lists!$X$7,IF(Dashboard!$E$7=2020,Vehicle!J285,Vehicle!J265), IF(Dashboard!$E$3=Lists!$X$8,J305, IF(Dashboard!$E$3=Lists!$X$9,J45,""))))</f>
        <v>41805.970500000003</v>
      </c>
      <c r="K25" s="10">
        <f ca="1">IF(Dashboard!$E$3=Lists!$X$6,$G$14*OFFSET(K65,100*(MATCH(Dashboard!$E$11,Lists!$AB$6:$AB$7,0)-1) + 20*(MATCH(Dashboard!$E$7,Lists!$AD$6:$AD$10,0)-1),0), IF(Dashboard!$E$3=Lists!$X$7,IF(Dashboard!$E$7=2020,Vehicle!K285,Vehicle!K265), IF(Dashboard!$E$3=Lists!$X$8,K305, IF(Dashboard!$E$3=Lists!$X$9,K45,""))))</f>
        <v>49332.222599999994</v>
      </c>
      <c r="M25" t="s">
        <v>121</v>
      </c>
      <c r="N25" s="10">
        <f ca="1">IF(Dashboard!$E$3=Lists!$X$6,OFFSET(N65,100*(MATCH(Dashboard!$E$11,Lists!$AB$6:$AB$7,0)-1) + 20*(MATCH(Dashboard!$E$7,Lists!$AD$6:$AD$10,0)-1),0), IF(Dashboard!$E$3=Lists!$X$7,IF(Dashboard!$E$7=2020,Vehicle!N285,Vehicle!N265), IF(Dashboard!$E$3=Lists!$X$8,N305, IF(Dashboard!$E$3=Lists!$X$9,N45,""))))</f>
        <v>20.225625061993536</v>
      </c>
      <c r="O25" s="10">
        <f ca="1">IF(Dashboard!$E$3=Lists!$X$6,OFFSET(O65,100*(MATCH(Dashboard!$E$11,Lists!$AB$6:$AB$7,0)-1) + 20*(MATCH(Dashboard!$E$7,Lists!$AD$6:$AD$10,0)-1),0), IF(Dashboard!$E$3=Lists!$X$7,IF(Dashboard!$E$7=2020,Vehicle!O285,Vehicle!O265), IF(Dashboard!$E$3=Lists!$X$8,O305, IF(Dashboard!$E$3=Lists!$X$9,O45,""))))</f>
        <v>23.500332238037927</v>
      </c>
      <c r="P25" s="10">
        <f ca="1">IF(Dashboard!$E$3=Lists!$X$6,OFFSET(P65,100*(MATCH(Dashboard!$E$11,Lists!$AB$6:$AB$7,0)-1) + 20*(MATCH(Dashboard!$E$7,Lists!$AD$6:$AD$10,0)-1),0), IF(Dashboard!$E$3=Lists!$X$7,IF(Dashboard!$E$7=2020,Vehicle!P285,Vehicle!P265), IF(Dashboard!$E$3=Lists!$X$8,P305, IF(Dashboard!$E$3=Lists!$X$9,P45,""))))</f>
        <v>30.418379815863094</v>
      </c>
      <c r="Q25" s="10">
        <f ca="1">IF(Dashboard!$E$3=Lists!$X$6,OFFSET(Q65,100*(MATCH(Dashboard!$E$11,Lists!$AB$6:$AB$7,0)-1) + 20*(MATCH(Dashboard!$E$7,Lists!$AD$6:$AD$10,0)-1),0), IF(Dashboard!$E$3=Lists!$X$7,IF(Dashboard!$E$7=2020,Vehicle!Q285,Vehicle!Q265), IF(Dashboard!$E$3=Lists!$X$8,Q305, IF(Dashboard!$E$3=Lists!$X$9,Q45,""))))</f>
        <v>64.519510456295549</v>
      </c>
      <c r="R25" s="10">
        <f ca="1">IF(Dashboard!$E$3=Lists!$X$6,OFFSET(R65,100*(MATCH(Dashboard!$E$11,Lists!$AB$6:$AB$7,0)-1) + 20*(MATCH(Dashboard!$E$7,Lists!$AD$6:$AD$10,0)-1),0), IF(Dashboard!$E$3=Lists!$X$7,IF(Dashboard!$E$7=2020,Vehicle!R285,Vehicle!R265), IF(Dashboard!$E$3=Lists!$X$8,R305, IF(Dashboard!$E$3=Lists!$X$9,R45,""))))</f>
        <v>45.616759934983463</v>
      </c>
      <c r="S25" s="10">
        <f ca="1">IF(Dashboard!$E$3=Lists!$X$6,OFFSET(S65,100*(MATCH(Dashboard!$E$11,Lists!$AB$6:$AB$7,0)-1) + 20*(MATCH(Dashboard!$E$7,Lists!$AD$6:$AD$10,0)-1),0), IF(Dashboard!$E$3=Lists!$X$7,IF(Dashboard!$E$7=2020,Vehicle!S285,Vehicle!S265), IF(Dashboard!$E$3=Lists!$X$8,S305, IF(Dashboard!$E$3=Lists!$X$9,S45,""))))</f>
        <v>75.903366783922948</v>
      </c>
      <c r="U25" t="s">
        <v>121</v>
      </c>
      <c r="V25" s="10">
        <f ca="1">IF(Dashboard!$E$3=Lists!$X$6,OFFSET(V65,100*(MATCH(Dashboard!$E$11,Lists!$AB$6:$AB$7,0)-1) + 20*(MATCH(Dashboard!$E$7,Lists!$AD$6:$AD$10,0)-1),0), IF(Dashboard!$E$3=Lists!$X$7,IF(Dashboard!$E$7=2020,Vehicle!V285,Vehicle!V265), IF(Dashboard!$E$3=Lists!$X$8,V305, IF(Dashboard!$E$3=Lists!$X$9,V45,""))))</f>
        <v>4237.2796399999997</v>
      </c>
      <c r="W25" s="10">
        <f ca="1">IF(Dashboard!$E$3=Lists!$X$6,OFFSET(W65,100*(MATCH(Dashboard!$E$11,Lists!$AB$6:$AB$7,0)-1) + 20*(MATCH(Dashboard!$E$7,Lists!$AD$6:$AD$10,0)-1),0), IF(Dashboard!$E$3=Lists!$X$7,IF(Dashboard!$E$7=2020,Vehicle!W285,Vehicle!W265), IF(Dashboard!$E$3=Lists!$X$8,W305, IF(Dashboard!$E$3=Lists!$X$9,W45,""))))</f>
        <v>4351.9198799999995</v>
      </c>
      <c r="X25" s="10">
        <f ca="1">IF(Dashboard!$E$3=Lists!$X$6,OFFSET(X65,100*(MATCH(Dashboard!$E$11,Lists!$AB$6:$AB$7,0)-1) + 20*(MATCH(Dashboard!$E$7,Lists!$AD$6:$AD$10,0)-1),0), IF(Dashboard!$E$3=Lists!$X$7,IF(Dashboard!$E$7=2020,Vehicle!X285,Vehicle!X265), IF(Dashboard!$E$3=Lists!$X$8,X305, IF(Dashboard!$E$3=Lists!$X$9,X45,""))))</f>
        <v>4325.4644399999997</v>
      </c>
      <c r="Y25" s="10">
        <f ca="1">IF(Dashboard!$E$3=Lists!$X$6,OFFSET(Y65,100*(MATCH(Dashboard!$E$11,Lists!$AB$6:$AB$7,0)-1) + 20*(MATCH(Dashboard!$E$7,Lists!$AD$6:$AD$10,0)-1),0), IF(Dashboard!$E$3=Lists!$X$7,IF(Dashboard!$E$7=2020,Vehicle!Y285,Vehicle!Y265), IF(Dashboard!$E$3=Lists!$X$8,Y305, IF(Dashboard!$E$3=Lists!$X$9,Y45,""))))</f>
        <v>4960.3949999999995</v>
      </c>
      <c r="Z25" s="10">
        <f ca="1">IF(Dashboard!$E$3=Lists!$X$6,OFFSET(Z65,100*(MATCH(Dashboard!$E$11,Lists!$AB$6:$AB$7,0)-1) + 20*(MATCH(Dashboard!$E$7,Lists!$AD$6:$AD$10,0)-1),0), IF(Dashboard!$E$3=Lists!$X$7,IF(Dashboard!$E$7=2020,Vehicle!Z285,Vehicle!Z265), IF(Dashboard!$E$3=Lists!$X$8,Z305, IF(Dashboard!$E$3=Lists!$X$9,Z45,""))))</f>
        <v>4563.5634</v>
      </c>
      <c r="AA25" s="10">
        <f ca="1">IF(Dashboard!$E$3=Lists!$X$6,OFFSET(AA65,100*(MATCH(Dashboard!$E$11,Lists!$AB$6:$AB$7,0)-1) + 20*(MATCH(Dashboard!$E$7,Lists!$AD$6:$AD$10,0)-1),0), IF(Dashboard!$E$3=Lists!$X$7,IF(Dashboard!$E$7=2020,Vehicle!AA285,Vehicle!AA265), IF(Dashboard!$E$3=Lists!$X$8,AA305, IF(Dashboard!$E$3=Lists!$X$9,AA45,""))))</f>
        <v>4601.0419399999992</v>
      </c>
      <c r="AD25" s="36">
        <f ca="1">IF(Dashboard!$E$3=Lists!$X$6,OFFSET(AD65,100*(MATCH(Dashboard!$E$11,Lists!$AB$6:$AB$7,0)-1) + 20*(MATCH(Dashboard!$E$7,Lists!$AD$6:$AD$10,0)-1),0), IF(Dashboard!$E$3=Lists!$X$7,Vehicle!AD265, IF(Dashboard!$E$3=Lists!$X$8,AD285, IF(Dashboard!$E$3=Lists!$X$9,AD45,""))))</f>
        <v>0.74299999999999999</v>
      </c>
    </row>
    <row r="26" spans="1:47" x14ac:dyDescent="0.45">
      <c r="A26" t="s">
        <v>187</v>
      </c>
      <c r="C26" t="s">
        <v>37</v>
      </c>
      <c r="E26" t="s">
        <v>122</v>
      </c>
      <c r="F26" s="10">
        <f ca="1">IF(Dashboard!$E$3=Lists!$X$6,$G$14*OFFSET(F66,100*(MATCH(Dashboard!$E$11,Lists!$AB$6:$AB$7,0)-1) + 20*(MATCH(Dashboard!$E$7,Lists!$AD$6:$AD$10,0)-1),0), IF(Dashboard!$E$3=Lists!$X$7,IF(Dashboard!$E$7=2020,Vehicle!F286,Vehicle!F266), IF(Dashboard!$E$3=Lists!$X$8,F306, IF(Dashboard!$E$3=Lists!$X$9,F46,""))))</f>
        <v>30811.9074</v>
      </c>
      <c r="G26" s="10">
        <f ca="1">IF(Dashboard!$E$3=Lists!$X$6,$G$14*OFFSET(G66,100*(MATCH(Dashboard!$E$11,Lists!$AB$6:$AB$7,0)-1) + 20*(MATCH(Dashboard!$E$7,Lists!$AD$6:$AD$10,0)-1),0), IF(Dashboard!$E$3=Lists!$X$7,IF(Dashboard!$E$7=2020,Vehicle!G286,Vehicle!G266), IF(Dashboard!$E$3=Lists!$X$8,G306, IF(Dashboard!$E$3=Lists!$X$9,G46,""))))</f>
        <v>35975.22</v>
      </c>
      <c r="H26" s="10">
        <f ca="1">IF(Dashboard!$E$3=Lists!$X$6,$G$14*OFFSET(H66,100*(MATCH(Dashboard!$E$11,Lists!$AB$6:$AB$7,0)-1) + 20*(MATCH(Dashboard!$E$7,Lists!$AD$6:$AD$10,0)-1),0), IF(Dashboard!$E$3=Lists!$X$7,IF(Dashboard!$E$7=2020,Vehicle!H286,Vehicle!H266), IF(Dashboard!$E$3=Lists!$X$8,H306, IF(Dashboard!$E$3=Lists!$X$9,H46,""))))</f>
        <v>38536.8459</v>
      </c>
      <c r="I26" s="10">
        <f ca="1">IF(Dashboard!$E$3=Lists!$X$6,$G$14*OFFSET(I66,100*(MATCH(Dashboard!$E$11,Lists!$AB$6:$AB$7,0)-1) + 20*(MATCH(Dashboard!$E$7,Lists!$AD$6:$AD$10,0)-1),0), IF(Dashboard!$E$3=Lists!$X$7,IF(Dashboard!$E$7=2020,Vehicle!I286,Vehicle!I266), IF(Dashboard!$E$3=Lists!$X$8,I306, IF(Dashboard!$E$3=Lists!$X$9,I46,""))))</f>
        <v>56578.378349999999</v>
      </c>
      <c r="J26" s="10">
        <f ca="1">IF(Dashboard!$E$3=Lists!$X$6,$G$14*OFFSET(J66,100*(MATCH(Dashboard!$E$11,Lists!$AB$6:$AB$7,0)-1) + 20*(MATCH(Dashboard!$E$7,Lists!$AD$6:$AD$10,0)-1),0), IF(Dashboard!$E$3=Lists!$X$7,IF(Dashboard!$E$7=2020,Vehicle!J286,Vehicle!J266), IF(Dashboard!$E$3=Lists!$X$8,J306, IF(Dashboard!$E$3=Lists!$X$9,J46,""))))</f>
        <v>46488.905100000004</v>
      </c>
      <c r="K26" s="10">
        <f ca="1">IF(Dashboard!$E$3=Lists!$X$6,$G$14*OFFSET(K66,100*(MATCH(Dashboard!$E$11,Lists!$AB$6:$AB$7,0)-1) + 20*(MATCH(Dashboard!$E$7,Lists!$AD$6:$AD$10,0)-1),0), IF(Dashboard!$E$3=Lists!$X$7,IF(Dashboard!$E$7=2020,Vehicle!K286,Vehicle!K266), IF(Dashboard!$E$3=Lists!$X$8,K306, IF(Dashboard!$E$3=Lists!$X$9,K46,""))))</f>
        <v>54866.218350000003</v>
      </c>
      <c r="M26" t="s">
        <v>122</v>
      </c>
      <c r="N26" s="10">
        <f ca="1">IF(Dashboard!$E$3=Lists!$X$6,OFFSET(N66,100*(MATCH(Dashboard!$E$11,Lists!$AB$6:$AB$7,0)-1) + 20*(MATCH(Dashboard!$E$7,Lists!$AD$6:$AD$10,0)-1),0), IF(Dashboard!$E$3=Lists!$X$7,IF(Dashboard!$E$7=2020,Vehicle!N286,Vehicle!N266), IF(Dashboard!$E$3=Lists!$X$8,N306, IF(Dashboard!$E$3=Lists!$X$9,N46,""))))</f>
        <v>18.193523299748549</v>
      </c>
      <c r="O26" s="10">
        <f ca="1">IF(Dashboard!$E$3=Lists!$X$6,OFFSET(O66,100*(MATCH(Dashboard!$E$11,Lists!$AB$6:$AB$7,0)-1) + 20*(MATCH(Dashboard!$E$7,Lists!$AD$6:$AD$10,0)-1),0), IF(Dashboard!$E$3=Lists!$X$7,IF(Dashboard!$E$7=2020,Vehicle!O286,Vehicle!O266), IF(Dashboard!$E$3=Lists!$X$8,O306, IF(Dashboard!$E$3=Lists!$X$9,O46,""))))</f>
        <v>21.123688618419752</v>
      </c>
      <c r="P26" s="10">
        <f ca="1">IF(Dashboard!$E$3=Lists!$X$6,OFFSET(P66,100*(MATCH(Dashboard!$E$11,Lists!$AB$6:$AB$7,0)-1) + 20*(MATCH(Dashboard!$E$7,Lists!$AD$6:$AD$10,0)-1),0), IF(Dashboard!$E$3=Lists!$X$7,IF(Dashboard!$E$7=2020,Vehicle!P286,Vehicle!P266), IF(Dashboard!$E$3=Lists!$X$8,P306, IF(Dashboard!$E$3=Lists!$X$9,P46,""))))</f>
        <v>27.171381748754531</v>
      </c>
      <c r="Q26" s="10">
        <f ca="1">IF(Dashboard!$E$3=Lists!$X$6,OFFSET(Q66,100*(MATCH(Dashboard!$E$11,Lists!$AB$6:$AB$7,0)-1) + 20*(MATCH(Dashboard!$E$7,Lists!$AD$6:$AD$10,0)-1),0), IF(Dashboard!$E$3=Lists!$X$7,IF(Dashboard!$E$7=2020,Vehicle!Q286,Vehicle!Q266), IF(Dashboard!$E$3=Lists!$X$8,Q306, IF(Dashboard!$E$3=Lists!$X$9,Q46,""))))</f>
        <v>57.331275796892477</v>
      </c>
      <c r="R26" s="10">
        <f ca="1">IF(Dashboard!$E$3=Lists!$X$6,OFFSET(R66,100*(MATCH(Dashboard!$E$11,Lists!$AB$6:$AB$7,0)-1) + 20*(MATCH(Dashboard!$E$7,Lists!$AD$6:$AD$10,0)-1),0), IF(Dashboard!$E$3=Lists!$X$7,IF(Dashboard!$E$7=2020,Vehicle!R286,Vehicle!R266), IF(Dashboard!$E$3=Lists!$X$8,R306, IF(Dashboard!$E$3=Lists!$X$9,R46,""))))</f>
        <v>40.577923785741547</v>
      </c>
      <c r="S26" s="10">
        <f ca="1">IF(Dashboard!$E$3=Lists!$X$6,OFFSET(S66,100*(MATCH(Dashboard!$E$11,Lists!$AB$6:$AB$7,0)-1) + 20*(MATCH(Dashboard!$E$7,Lists!$AD$6:$AD$10,0)-1),0), IF(Dashboard!$E$3=Lists!$X$7,IF(Dashboard!$E$7=2020,Vehicle!S286,Vehicle!S266), IF(Dashboard!$E$3=Lists!$X$8,S306, IF(Dashboard!$E$3=Lists!$X$9,S46,""))))</f>
        <v>67.297310876547712</v>
      </c>
      <c r="U26" t="s">
        <v>122</v>
      </c>
      <c r="V26" s="10">
        <f ca="1">IF(Dashboard!$E$3=Lists!$X$6,OFFSET(V66,100*(MATCH(Dashboard!$E$11,Lists!$AB$6:$AB$7,0)-1) + 20*(MATCH(Dashboard!$E$7,Lists!$AD$6:$AD$10,0)-1),0), IF(Dashboard!$E$3=Lists!$X$7,IF(Dashboard!$E$7=2020,Vehicle!V286,Vehicle!V266), IF(Dashboard!$E$3=Lists!$X$8,V306, IF(Dashboard!$E$3=Lists!$X$9,V46,""))))</f>
        <v>4784.0253999999995</v>
      </c>
      <c r="W26" s="10">
        <f ca="1">IF(Dashboard!$E$3=Lists!$X$6,OFFSET(W66,100*(MATCH(Dashboard!$E$11,Lists!$AB$6:$AB$7,0)-1) + 20*(MATCH(Dashboard!$E$7,Lists!$AD$6:$AD$10,0)-1),0), IF(Dashboard!$E$3=Lists!$X$7,IF(Dashboard!$E$7=2020,Vehicle!W286,Vehicle!W266), IF(Dashboard!$E$3=Lists!$X$8,W306, IF(Dashboard!$E$3=Lists!$X$9,W46,""))))</f>
        <v>4927.3256999999994</v>
      </c>
      <c r="X26" s="10">
        <f ca="1">IF(Dashboard!$E$3=Lists!$X$6,OFFSET(X66,100*(MATCH(Dashboard!$E$11,Lists!$AB$6:$AB$7,0)-1) + 20*(MATCH(Dashboard!$E$7,Lists!$AD$6:$AD$10,0)-1),0), IF(Dashboard!$E$3=Lists!$X$7,IF(Dashboard!$E$7=2020,Vehicle!X286,Vehicle!X266), IF(Dashboard!$E$3=Lists!$X$8,X306, IF(Dashboard!$E$3=Lists!$X$9,X46,""))))</f>
        <v>4892.0517799999998</v>
      </c>
      <c r="Y26" s="10">
        <f ca="1">IF(Dashboard!$E$3=Lists!$X$6,OFFSET(Y66,100*(MATCH(Dashboard!$E$11,Lists!$AB$6:$AB$7,0)-1) + 20*(MATCH(Dashboard!$E$7,Lists!$AD$6:$AD$10,0)-1),0), IF(Dashboard!$E$3=Lists!$X$7,IF(Dashboard!$E$7=2020,Vehicle!Y286,Vehicle!Y266), IF(Dashboard!$E$3=Lists!$X$8,Y306, IF(Dashboard!$E$3=Lists!$X$9,Y46,""))))</f>
        <v>5606.3486599999997</v>
      </c>
      <c r="Z26" s="10">
        <f ca="1">IF(Dashboard!$E$3=Lists!$X$6,OFFSET(Z66,100*(MATCH(Dashboard!$E$11,Lists!$AB$6:$AB$7,0)-1) + 20*(MATCH(Dashboard!$E$7,Lists!$AD$6:$AD$10,0)-1),0), IF(Dashboard!$E$3=Lists!$X$7,IF(Dashboard!$E$7=2020,Vehicle!Z286,Vehicle!Z266), IF(Dashboard!$E$3=Lists!$X$8,Z306, IF(Dashboard!$E$3=Lists!$X$9,Z46,""))))</f>
        <v>5220.5401599999996</v>
      </c>
      <c r="AA26" s="10">
        <f ca="1">IF(Dashboard!$E$3=Lists!$X$6,OFFSET(AA66,100*(MATCH(Dashboard!$E$11,Lists!$AB$6:$AB$7,0)-1) + 20*(MATCH(Dashboard!$E$7,Lists!$AD$6:$AD$10,0)-1),0), IF(Dashboard!$E$3=Lists!$X$7,IF(Dashboard!$E$7=2020,Vehicle!AA286,Vehicle!AA266), IF(Dashboard!$E$3=Lists!$X$8,AA306, IF(Dashboard!$E$3=Lists!$X$9,AA46,""))))</f>
        <v>5251.4048399999992</v>
      </c>
      <c r="AD26" s="36">
        <f ca="1">IF(Dashboard!$E$3=Lists!$X$6,OFFSET(AD66,100*(MATCH(Dashboard!$E$11,Lists!$AB$6:$AB$7,0)-1) + 20*(MATCH(Dashboard!$E$7,Lists!$AD$6:$AD$10,0)-1),0), IF(Dashboard!$E$3=Lists!$X$7,Vehicle!AD266, IF(Dashboard!$E$3=Lists!$X$8,AD286, IF(Dashboard!$E$3=Lists!$X$9,AD46,""))))</f>
        <v>0.74299999999999999</v>
      </c>
    </row>
    <row r="27" spans="1:47" x14ac:dyDescent="0.45">
      <c r="A27" s="6">
        <f ca="1">Dashboard!$H$19*A14*A23</f>
        <v>58462.867120005001</v>
      </c>
      <c r="C27" s="6">
        <f ca="1">A30*(A17/12)*(1+A17/12)^(A20*12)/((1+A17/12)^(A20*12) - 1)</f>
        <v>7556.0325840877495</v>
      </c>
      <c r="E27" t="s">
        <v>123</v>
      </c>
      <c r="F27" s="10">
        <f ca="1">IF(Dashboard!$E$3=Lists!$X$6,$G$14*OFFSET(F67,100*(MATCH(Dashboard!$E$11,Lists!$AB$6:$AB$7,0)-1) + 20*(MATCH(Dashboard!$E$7,Lists!$AD$6:$AD$10,0)-1),0), IF(Dashboard!$E$3=Lists!$X$7,IF(Dashboard!$E$7=2020,Vehicle!F287,Vehicle!F267), IF(Dashboard!$E$3=Lists!$X$8,F307, IF(Dashboard!$E$3=Lists!$X$9,F47,""))))</f>
        <v>32874.654599999994</v>
      </c>
      <c r="G27" s="10">
        <f ca="1">IF(Dashboard!$E$3=Lists!$X$6,$G$14*OFFSET(G67,100*(MATCH(Dashboard!$E$11,Lists!$AB$6:$AB$7,0)-1) + 20*(MATCH(Dashboard!$E$7,Lists!$AD$6:$AD$10,0)-1),0), IF(Dashboard!$E$3=Lists!$X$7,IF(Dashboard!$E$7=2020,Vehicle!G287,Vehicle!G267), IF(Dashboard!$E$3=Lists!$X$8,G307, IF(Dashboard!$E$3=Lists!$X$9,G47,""))))</f>
        <v>38281.661099999998</v>
      </c>
      <c r="H27" s="10">
        <f ca="1">IF(Dashboard!$E$3=Lists!$X$6,$G$14*OFFSET(H67,100*(MATCH(Dashboard!$E$11,Lists!$AB$6:$AB$7,0)-1) + 20*(MATCH(Dashboard!$E$7,Lists!$AD$6:$AD$10,0)-1),0), IF(Dashboard!$E$3=Lists!$X$7,IF(Dashboard!$E$7=2020,Vehicle!H287,Vehicle!H267), IF(Dashboard!$E$3=Lists!$X$8,H307, IF(Dashboard!$E$3=Lists!$X$9,H47,""))))</f>
        <v>43951.321500000005</v>
      </c>
      <c r="I27" s="10">
        <f ca="1">IF(Dashboard!$E$3=Lists!$X$6,$G$14*OFFSET(I67,100*(MATCH(Dashboard!$E$11,Lists!$AB$6:$AB$7,0)-1) + 20*(MATCH(Dashboard!$E$7,Lists!$AD$6:$AD$10,0)-1),0), IF(Dashboard!$E$3=Lists!$X$7,IF(Dashboard!$E$7=2020,Vehicle!I287,Vehicle!I267), IF(Dashboard!$E$3=Lists!$X$8,I307, IF(Dashboard!$E$3=Lists!$X$9,I47,""))))</f>
        <v>62006.057399999998</v>
      </c>
      <c r="J27" s="10">
        <f ca="1">IF(Dashboard!$E$3=Lists!$X$6,$G$14*OFFSET(J67,100*(MATCH(Dashboard!$E$11,Lists!$AB$6:$AB$7,0)-1) + 20*(MATCH(Dashboard!$E$7,Lists!$AD$6:$AD$10,0)-1),0), IF(Dashboard!$E$3=Lists!$X$7,IF(Dashboard!$E$7=2020,Vehicle!J287,Vehicle!J267), IF(Dashboard!$E$3=Lists!$X$8,J307, IF(Dashboard!$E$3=Lists!$X$9,J47,""))))</f>
        <v>51500.340750000003</v>
      </c>
      <c r="K27" s="10">
        <f ca="1">IF(Dashboard!$E$3=Lists!$X$6,$G$14*OFFSET(K67,100*(MATCH(Dashboard!$E$11,Lists!$AB$6:$AB$7,0)-1) + 20*(MATCH(Dashboard!$E$7,Lists!$AD$6:$AD$10,0)-1),0), IF(Dashboard!$E$3=Lists!$X$7,IF(Dashboard!$E$7=2020,Vehicle!K287,Vehicle!K267), IF(Dashboard!$E$3=Lists!$X$8,K307, IF(Dashboard!$E$3=Lists!$X$9,K47,""))))</f>
        <v>62035.263149999999</v>
      </c>
      <c r="M27" t="s">
        <v>123</v>
      </c>
      <c r="N27" s="10">
        <f ca="1">IF(Dashboard!$E$3=Lists!$X$6,OFFSET(N67,100*(MATCH(Dashboard!$E$11,Lists!$AB$6:$AB$7,0)-1) + 20*(MATCH(Dashboard!$E$7,Lists!$AD$6:$AD$10,0)-1),0), IF(Dashboard!$E$3=Lists!$X$7,IF(Dashboard!$E$7=2020,Vehicle!N287,Vehicle!N267), IF(Dashboard!$E$3=Lists!$X$8,N307, IF(Dashboard!$E$3=Lists!$X$9,N47,""))))</f>
        <v>16.01539458004245</v>
      </c>
      <c r="O27" s="10">
        <f ca="1">IF(Dashboard!$E$3=Lists!$X$6,OFFSET(O67,100*(MATCH(Dashboard!$E$11,Lists!$AB$6:$AB$7,0)-1) + 20*(MATCH(Dashboard!$E$7,Lists!$AD$6:$AD$10,0)-1),0), IF(Dashboard!$E$3=Lists!$X$7,IF(Dashboard!$E$7=2020,Vehicle!O287,Vehicle!O267), IF(Dashboard!$E$3=Lists!$X$8,O307, IF(Dashboard!$E$3=Lists!$X$9,O47,""))))</f>
        <v>18.417318896386377</v>
      </c>
      <c r="P27" s="10">
        <f ca="1">IF(Dashboard!$E$3=Lists!$X$6,OFFSET(P67,100*(MATCH(Dashboard!$E$11,Lists!$AB$6:$AB$7,0)-1) + 20*(MATCH(Dashboard!$E$7,Lists!$AD$6:$AD$10,0)-1),0), IF(Dashboard!$E$3=Lists!$X$7,IF(Dashboard!$E$7=2020,Vehicle!P287,Vehicle!P267), IF(Dashboard!$E$3=Lists!$X$8,P307, IF(Dashboard!$E$3=Lists!$X$9,P47,""))))</f>
        <v>23.489437059412268</v>
      </c>
      <c r="Q27" s="10">
        <f ca="1">IF(Dashboard!$E$3=Lists!$X$6,OFFSET(Q67,100*(MATCH(Dashboard!$E$11,Lists!$AB$6:$AB$7,0)-1) + 20*(MATCH(Dashboard!$E$7,Lists!$AD$6:$AD$10,0)-1),0), IF(Dashboard!$E$3=Lists!$X$7,IF(Dashboard!$E$7=2020,Vehicle!Q287,Vehicle!Q267), IF(Dashboard!$E$3=Lists!$X$8,Q307, IF(Dashboard!$E$3=Lists!$X$9,Q47,""))))</f>
        <v>49.046838930093294</v>
      </c>
      <c r="R27" s="10">
        <f ca="1">IF(Dashboard!$E$3=Lists!$X$6,OFFSET(R67,100*(MATCH(Dashboard!$E$11,Lists!$AB$6:$AB$7,0)-1) + 20*(MATCH(Dashboard!$E$7,Lists!$AD$6:$AD$10,0)-1),0), IF(Dashboard!$E$3=Lists!$X$7,IF(Dashboard!$E$7=2020,Vehicle!R287,Vehicle!R267), IF(Dashboard!$E$3=Lists!$X$8,R307, IF(Dashboard!$E$3=Lists!$X$9,R47,""))))</f>
        <v>34.745543469186458</v>
      </c>
      <c r="S27" s="10">
        <f ca="1">IF(Dashboard!$E$3=Lists!$X$6,OFFSET(S67,100*(MATCH(Dashboard!$E$11,Lists!$AB$6:$AB$7,0)-1) + 20*(MATCH(Dashboard!$E$7,Lists!$AD$6:$AD$10,0)-1),0), IF(Dashboard!$E$3=Lists!$X$7,IF(Dashboard!$E$7=2020,Vehicle!S287,Vehicle!S267), IF(Dashboard!$E$3=Lists!$X$8,S307, IF(Dashboard!$E$3=Lists!$X$9,S47,""))))</f>
        <v>57.038904940973133</v>
      </c>
      <c r="U27" t="s">
        <v>123</v>
      </c>
      <c r="V27" s="10">
        <f ca="1">IF(Dashboard!$E$3=Lists!$X$6,OFFSET(V67,100*(MATCH(Dashboard!$E$11,Lists!$AB$6:$AB$7,0)-1) + 20*(MATCH(Dashboard!$E$7,Lists!$AD$6:$AD$10,0)-1),0), IF(Dashboard!$E$3=Lists!$X$7,IF(Dashboard!$E$7=2020,Vehicle!V287,Vehicle!V267), IF(Dashboard!$E$3=Lists!$X$8,V307, IF(Dashboard!$E$3=Lists!$X$9,V47,""))))</f>
        <v>5449.8206399999999</v>
      </c>
      <c r="W27" s="10">
        <f ca="1">IF(Dashboard!$E$3=Lists!$X$6,OFFSET(W67,100*(MATCH(Dashboard!$E$11,Lists!$AB$6:$AB$7,0)-1) + 20*(MATCH(Dashboard!$E$7,Lists!$AD$6:$AD$10,0)-1),0), IF(Dashboard!$E$3=Lists!$X$7,IF(Dashboard!$E$7=2020,Vehicle!W287,Vehicle!W267), IF(Dashboard!$E$3=Lists!$X$8,W307, IF(Dashboard!$E$3=Lists!$X$9,W47,""))))</f>
        <v>5626.1902399999999</v>
      </c>
      <c r="X27" s="10">
        <f ca="1">IF(Dashboard!$E$3=Lists!$X$6,OFFSET(X67,100*(MATCH(Dashboard!$E$11,Lists!$AB$6:$AB$7,0)-1) + 20*(MATCH(Dashboard!$E$7,Lists!$AD$6:$AD$10,0)-1),0), IF(Dashboard!$E$3=Lists!$X$7,IF(Dashboard!$E$7=2020,Vehicle!X287,Vehicle!X267), IF(Dashboard!$E$3=Lists!$X$8,X307, IF(Dashboard!$E$3=Lists!$X$9,X47,""))))</f>
        <v>5504.9361399999998</v>
      </c>
      <c r="Y27" s="10">
        <f ca="1">IF(Dashboard!$E$3=Lists!$X$6,OFFSET(Y67,100*(MATCH(Dashboard!$E$11,Lists!$AB$6:$AB$7,0)-1) + 20*(MATCH(Dashboard!$E$7,Lists!$AD$6:$AD$10,0)-1),0), IF(Dashboard!$E$3=Lists!$X$7,IF(Dashboard!$E$7=2020,Vehicle!Y287,Vehicle!Y267), IF(Dashboard!$E$3=Lists!$X$8,Y307, IF(Dashboard!$E$3=Lists!$X$9,Y47,""))))</f>
        <v>6298.5993399999998</v>
      </c>
      <c r="Z27" s="10">
        <f ca="1">IF(Dashboard!$E$3=Lists!$X$6,OFFSET(Z67,100*(MATCH(Dashboard!$E$11,Lists!$AB$6:$AB$7,0)-1) + 20*(MATCH(Dashboard!$E$7,Lists!$AD$6:$AD$10,0)-1),0), IF(Dashboard!$E$3=Lists!$X$7,IF(Dashboard!$E$7=2020,Vehicle!Z287,Vehicle!Z267), IF(Dashboard!$E$3=Lists!$X$8,Z307, IF(Dashboard!$E$3=Lists!$X$9,Z47,""))))</f>
        <v>5956.8832399999992</v>
      </c>
      <c r="AA27" s="10">
        <f ca="1">IF(Dashboard!$E$3=Lists!$X$6,OFFSET(AA67,100*(MATCH(Dashboard!$E$11,Lists!$AB$6:$AB$7,0)-1) + 20*(MATCH(Dashboard!$E$7,Lists!$AD$6:$AD$10,0)-1),0), IF(Dashboard!$E$3=Lists!$X$7,IF(Dashboard!$E$7=2020,Vehicle!AA287,Vehicle!AA267), IF(Dashboard!$E$3=Lists!$X$8,AA307, IF(Dashboard!$E$3=Lists!$X$9,AA47,""))))</f>
        <v>6007.5894999999991</v>
      </c>
      <c r="AD27" s="36">
        <f ca="1">IF(Dashboard!$E$3=Lists!$X$6,OFFSET(AD67,100*(MATCH(Dashboard!$E$11,Lists!$AB$6:$AB$7,0)-1) + 20*(MATCH(Dashboard!$E$7,Lists!$AD$6:$AD$10,0)-1),0), IF(Dashboard!$E$3=Lists!$X$7,Vehicle!AD267, IF(Dashboard!$E$3=Lists!$X$8,AD287, IF(Dashboard!$E$3=Lists!$X$9,AD47,""))))</f>
        <v>0.74299999999999999</v>
      </c>
    </row>
    <row r="28" spans="1:47" x14ac:dyDescent="0.45">
      <c r="E28" t="s">
        <v>115</v>
      </c>
      <c r="F28" s="10">
        <f ca="1">IF(Dashboard!$E$3=Lists!$X$6,$G$14*OFFSET(F68,100*(MATCH(Dashboard!$E$11,Lists!$AB$6:$AB$7,0)-1) + 20*(MATCH(Dashboard!$E$7,Lists!$AD$6:$AD$10,0)-1),0), IF(Dashboard!$E$3=Lists!$X$7,IF(Dashboard!$E$7=2020,Vehicle!F288,Vehicle!F268), IF(Dashboard!$E$3=Lists!$X$8,F308, IF(Dashboard!$E$3=Lists!$X$9,F48,""))))</f>
        <v>0</v>
      </c>
      <c r="G28" s="10">
        <f ca="1">IF(Dashboard!$E$3=Lists!$X$6,$G$14*OFFSET(G68,100*(MATCH(Dashboard!$E$11,Lists!$AB$6:$AB$7,0)-1) + 20*(MATCH(Dashboard!$E$7,Lists!$AD$6:$AD$10,0)-1),0), IF(Dashboard!$E$3=Lists!$X$7,IF(Dashboard!$E$7=2020,Vehicle!G288,Vehicle!G268), IF(Dashboard!$E$3=Lists!$X$8,G308, IF(Dashboard!$E$3=Lists!$X$9,G48,""))))</f>
        <v>215321.92325439141</v>
      </c>
      <c r="H28" s="10">
        <f ca="1">IF(Dashboard!$E$3=Lists!$X$6,$G$14*OFFSET(H68,100*(MATCH(Dashboard!$E$11,Lists!$AB$6:$AB$7,0)-1) + 20*(MATCH(Dashboard!$E$7,Lists!$AD$6:$AD$10,0)-1),0), IF(Dashboard!$E$3=Lists!$X$7,IF(Dashboard!$E$7=2020,Vehicle!H288,Vehicle!H268), IF(Dashboard!$E$3=Lists!$X$8,H308, IF(Dashboard!$E$3=Lists!$X$9,H48,""))))</f>
        <v>233778.30317261786</v>
      </c>
      <c r="I28" s="10">
        <f ca="1">IF(Dashboard!$E$3=Lists!$X$6,$G$14*OFFSET(I68,100*(MATCH(Dashboard!$E$11,Lists!$AB$6:$AB$7,0)-1) + 20*(MATCH(Dashboard!$E$7,Lists!$AD$6:$AD$10,0)-1),0), IF(Dashboard!$E$3=Lists!$X$7,IF(Dashboard!$E$7=2020,Vehicle!I288,Vehicle!I268), IF(Dashboard!$E$3=Lists!$X$8,I308, IF(Dashboard!$E$3=Lists!$X$9,I48,""))))</f>
        <v>852554.37358746969</v>
      </c>
      <c r="J28" s="10">
        <f ca="1">IF(Dashboard!$E$3=Lists!$X$6,$G$14*OFFSET(J68,100*(MATCH(Dashboard!$E$11,Lists!$AB$6:$AB$7,0)-1) + 20*(MATCH(Dashboard!$E$7,Lists!$AD$6:$AD$10,0)-1),0), IF(Dashboard!$E$3=Lists!$X$7,IF(Dashboard!$E$7=2020,Vehicle!J288,Vehicle!J268), IF(Dashboard!$E$3=Lists!$X$8,J308, IF(Dashboard!$E$3=Lists!$X$9,J48,""))))</f>
        <v>539266.49022684922</v>
      </c>
      <c r="K28" s="10">
        <f ca="1">IF(Dashboard!$E$3=Lists!$X$6,$G$14*OFFSET(K68,100*(MATCH(Dashboard!$E$11,Lists!$AB$6:$AB$7,0)-1) + 20*(MATCH(Dashboard!$E$7,Lists!$AD$6:$AD$10,0)-1),0), IF(Dashboard!$E$3=Lists!$X$7,IF(Dashboard!$E$7=2020,Vehicle!K288,Vehicle!K268), IF(Dashboard!$E$3=Lists!$X$8,K308, IF(Dashboard!$E$3=Lists!$X$9,K48,""))))</f>
        <v>1424083.1964639574</v>
      </c>
      <c r="M28" t="s">
        <v>115</v>
      </c>
      <c r="N28" s="10">
        <f ca="1">IF(Dashboard!$E$3=Lists!$X$6,OFFSET(N68,100*(MATCH(Dashboard!$E$11,Lists!$AB$6:$AB$7,0)-1) + 20*(MATCH(Dashboard!$E$7,Lists!$AD$6:$AD$10,0)-1),0), IF(Dashboard!$E$3=Lists!$X$7,IF(Dashboard!$E$7=2020,Vehicle!N288,Vehicle!N268), IF(Dashboard!$E$3=Lists!$X$8,N308, IF(Dashboard!$E$3=Lists!$X$9,N48,""))))</f>
        <v>0</v>
      </c>
      <c r="O28" s="10">
        <f ca="1">IF(Dashboard!$E$3=Lists!$X$6,OFFSET(O68,100*(MATCH(Dashboard!$E$11,Lists!$AB$6:$AB$7,0)-1) + 20*(MATCH(Dashboard!$E$7,Lists!$AD$6:$AD$10,0)-1),0), IF(Dashboard!$E$3=Lists!$X$7,IF(Dashboard!$E$7=2020,Vehicle!O288,Vehicle!O268), IF(Dashboard!$E$3=Lists!$X$8,O308, IF(Dashboard!$E$3=Lists!$X$9,O48,""))))</f>
        <v>6.6620598318259745</v>
      </c>
      <c r="P28" s="10">
        <f ca="1">IF(Dashboard!$E$3=Lists!$X$6,OFFSET(P68,100*(MATCH(Dashboard!$E$11,Lists!$AB$6:$AB$7,0)-1) + 20*(MATCH(Dashboard!$E$7,Lists!$AD$6:$AD$10,0)-1),0), IF(Dashboard!$E$3=Lists!$X$7,IF(Dashboard!$E$7=2020,Vehicle!P288,Vehicle!P268), IF(Dashboard!$E$3=Lists!$X$8,P308, IF(Dashboard!$E$3=Lists!$X$9,P48,""))))</f>
        <v>6.5581334071806339</v>
      </c>
      <c r="Q28" s="10">
        <f ca="1">IF(Dashboard!$E$3=Lists!$X$6,OFFSET(Q68,100*(MATCH(Dashboard!$E$11,Lists!$AB$6:$AB$7,0)-1) + 20*(MATCH(Dashboard!$E$7,Lists!$AD$6:$AD$10,0)-1),0), IF(Dashboard!$E$3=Lists!$X$7,IF(Dashboard!$E$7=2020,Vehicle!Q288,Vehicle!Q268), IF(Dashboard!$E$3=Lists!$X$8,Q308, IF(Dashboard!$E$3=Lists!$X$9,Q48,""))))</f>
        <v>6.1123574106502288</v>
      </c>
      <c r="R28" s="10">
        <f ca="1">IF(Dashboard!$E$3=Lists!$X$6,OFFSET(R68,100*(MATCH(Dashboard!$E$11,Lists!$AB$6:$AB$7,0)-1) + 20*(MATCH(Dashboard!$E$7,Lists!$AD$6:$AD$10,0)-1),0), IF(Dashboard!$E$3=Lists!$X$7,IF(Dashboard!$E$7=2020,Vehicle!R288,Vehicle!R268), IF(Dashboard!$E$3=Lists!$X$8,R308, IF(Dashboard!$E$3=Lists!$X$9,R48,""))))</f>
        <v>6.6987177929802719</v>
      </c>
      <c r="S28" s="10">
        <f ca="1">IF(Dashboard!$E$3=Lists!$X$6,OFFSET(S68,100*(MATCH(Dashboard!$E$11,Lists!$AB$6:$AB$7,0)-1) + 20*(MATCH(Dashboard!$E$7,Lists!$AD$6:$AD$10,0)-1),0), IF(Dashboard!$E$3=Lists!$X$7,IF(Dashboard!$E$7=2020,Vehicle!S288,Vehicle!S268), IF(Dashboard!$E$3=Lists!$X$8,S308, IF(Dashboard!$E$3=Lists!$X$9,S48,""))))</f>
        <v>11.589400574871437</v>
      </c>
      <c r="U28" t="s">
        <v>115</v>
      </c>
      <c r="V28" s="10">
        <f ca="1">IF(Dashboard!$E$3=Lists!$X$6,OFFSET(V68,100*(MATCH(Dashboard!$E$11,Lists!$AB$6:$AB$7,0)-1) + 20*(MATCH(Dashboard!$E$7,Lists!$AD$6:$AD$10,0)-1),0), IF(Dashboard!$E$3=Lists!$X$7,IF(Dashboard!$E$7=2020,Vehicle!V288,Vehicle!V268), IF(Dashboard!$E$3=Lists!$X$8,V308, IF(Dashboard!$E$3=Lists!$X$9,V48,""))))</f>
        <v>0</v>
      </c>
      <c r="W28" s="10">
        <f ca="1">IF(Dashboard!$E$3=Lists!$X$6,OFFSET(W68,100*(MATCH(Dashboard!$E$11,Lists!$AB$6:$AB$7,0)-1) + 20*(MATCH(Dashboard!$E$7,Lists!$AD$6:$AD$10,0)-1),0), IF(Dashboard!$E$3=Lists!$X$7,IF(Dashboard!$E$7=2020,Vehicle!W288,Vehicle!W268), IF(Dashboard!$E$3=Lists!$X$8,W308, IF(Dashboard!$E$3=Lists!$X$9,W48,""))))</f>
        <v>67140.297273070348</v>
      </c>
      <c r="X28" s="10">
        <f ca="1">IF(Dashboard!$E$3=Lists!$X$6,OFFSET(X68,100*(MATCH(Dashboard!$E$11,Lists!$AB$6:$AB$7,0)-1) + 20*(MATCH(Dashboard!$E$7,Lists!$AD$6:$AD$10,0)-1),0), IF(Dashboard!$E$3=Lists!$X$7,IF(Dashboard!$E$7=2020,Vehicle!X288,Vehicle!X268), IF(Dashboard!$E$3=Lists!$X$8,X308, IF(Dashboard!$E$3=Lists!$X$9,X48,""))))</f>
        <v>67753.457257878108</v>
      </c>
      <c r="Y28" s="10">
        <f ca="1">IF(Dashboard!$E$3=Lists!$X$6,OFFSET(Y68,100*(MATCH(Dashboard!$E$11,Lists!$AB$6:$AB$7,0)-1) + 20*(MATCH(Dashboard!$E$7,Lists!$AD$6:$AD$10,0)-1),0), IF(Dashboard!$E$3=Lists!$X$7,IF(Dashboard!$E$7=2020,Vehicle!Y288,Vehicle!Y268), IF(Dashboard!$E$3=Lists!$X$8,Y308, IF(Dashboard!$E$3=Lists!$X$9,Y48,""))))</f>
        <v>76664.027995656215</v>
      </c>
      <c r="Z28" s="10">
        <f ca="1">IF(Dashboard!$E$3=Lists!$X$6,OFFSET(Z68,100*(MATCH(Dashboard!$E$11,Lists!$AB$6:$AB$7,0)-1) + 20*(MATCH(Dashboard!$E$7,Lists!$AD$6:$AD$10,0)-1),0), IF(Dashboard!$E$3=Lists!$X$7,IF(Dashboard!$E$7=2020,Vehicle!Z288,Vehicle!Z268), IF(Dashboard!$E$3=Lists!$X$8,Z308, IF(Dashboard!$E$3=Lists!$X$9,Z48,""))))</f>
        <v>69669.783751270501</v>
      </c>
      <c r="AA28" s="10">
        <f ca="1">IF(Dashboard!$E$3=Lists!$X$6,OFFSET(AA68,100*(MATCH(Dashboard!$E$11,Lists!$AB$6:$AB$7,0)-1) + 20*(MATCH(Dashboard!$E$7,Lists!$AD$6:$AD$10,0)-1),0), IF(Dashboard!$E$3=Lists!$X$7,IF(Dashboard!$E$7=2020,Vehicle!AA288,Vehicle!AA268), IF(Dashboard!$E$3=Lists!$X$8,AA308, IF(Dashboard!$E$3=Lists!$X$9,AA48,""))))</f>
        <v>81567.152899830035</v>
      </c>
      <c r="AC28" s="10">
        <f ca="1">IF(Dashboard!$E$3=Lists!$X$6,OFFSET(AC68,100*(MATCH(Dashboard!$E$11,Lists!$AB$6:$AB$7,0)-1) + 20*(MATCH(Dashboard!$E$7,Lists!$AD$6:$AD$10,0)-1),0), IF(Dashboard!$E$3=Lists!$X$7,Vehicle!AC268, IF(Dashboard!$E$3=Lists!$X$8,AC288, IF(Dashboard!$E$3=Lists!$X$9,AC48,""))))</f>
        <v>38203.272007845997</v>
      </c>
      <c r="AD28" s="36">
        <f ca="1">IF(Dashboard!$E$3=Lists!$X$6,OFFSET(AD68,100*(MATCH(Dashboard!$E$11,Lists!$AB$6:$AB$7,0)-1) + 20*(MATCH(Dashboard!$E$7,Lists!$AD$6:$AD$10,0)-1),0), IF(Dashboard!$E$3=Lists!$X$7,Vehicle!AD268, IF(Dashboard!$E$3=Lists!$X$8,AD288, IF(Dashboard!$E$3=Lists!$X$9,AD48,""))))</f>
        <v>0.24129999845248973</v>
      </c>
    </row>
    <row r="29" spans="1:47" x14ac:dyDescent="0.45">
      <c r="A29" t="s">
        <v>185</v>
      </c>
      <c r="C29" t="s">
        <v>186</v>
      </c>
      <c r="E29" t="s">
        <v>116</v>
      </c>
      <c r="F29" s="10">
        <f ca="1">IF(Dashboard!$E$3=Lists!$X$6,$G$14*OFFSET(F69,100*(MATCH(Dashboard!$E$11,Lists!$AB$6:$AB$7,0)-1) + 20*(MATCH(Dashboard!$E$7,Lists!$AD$6:$AD$10,0)-1),0), IF(Dashboard!$E$3=Lists!$X$7,IF(Dashboard!$E$7=2020,Vehicle!F289,Vehicle!F269), IF(Dashboard!$E$3=Lists!$X$8,F309, IF(Dashboard!$E$3=Lists!$X$9,F49,""))))</f>
        <v>0</v>
      </c>
      <c r="G29" s="10">
        <f ca="1">IF(Dashboard!$E$3=Lists!$X$6,$G$14*OFFSET(G69,100*(MATCH(Dashboard!$E$11,Lists!$AB$6:$AB$7,0)-1) + 20*(MATCH(Dashboard!$E$7,Lists!$AD$6:$AD$10,0)-1),0), IF(Dashboard!$E$3=Lists!$X$7,IF(Dashboard!$E$7=2020,Vehicle!G289,Vehicle!G269), IF(Dashboard!$E$3=Lists!$X$8,G309, IF(Dashboard!$E$3=Lists!$X$9,G49,""))))</f>
        <v>183507.02388102596</v>
      </c>
      <c r="H29" s="10">
        <f ca="1">IF(Dashboard!$E$3=Lists!$X$6,$G$14*OFFSET(H69,100*(MATCH(Dashboard!$E$11,Lists!$AB$6:$AB$7,0)-1) + 20*(MATCH(Dashboard!$E$7,Lists!$AD$6:$AD$10,0)-1),0), IF(Dashboard!$E$3=Lists!$X$7,IF(Dashboard!$E$7=2020,Vehicle!H289,Vehicle!H269), IF(Dashboard!$E$3=Lists!$X$8,H309, IF(Dashboard!$E$3=Lists!$X$9,H49,""))))</f>
        <v>199864.55948177056</v>
      </c>
      <c r="I29" s="10">
        <f ca="1">IF(Dashboard!$E$3=Lists!$X$6,$G$14*OFFSET(I69,100*(MATCH(Dashboard!$E$11,Lists!$AB$6:$AB$7,0)-1) + 20*(MATCH(Dashboard!$E$7,Lists!$AD$6:$AD$10,0)-1),0), IF(Dashboard!$E$3=Lists!$X$7,IF(Dashboard!$E$7=2020,Vehicle!I289,Vehicle!I269), IF(Dashboard!$E$3=Lists!$X$8,I309, IF(Dashboard!$E$3=Lists!$X$9,I49,""))))</f>
        <v>527925.12446604588</v>
      </c>
      <c r="J29" s="10">
        <f ca="1">IF(Dashboard!$E$3=Lists!$X$6,$G$14*OFFSET(J69,100*(MATCH(Dashboard!$E$11,Lists!$AB$6:$AB$7,0)-1) + 20*(MATCH(Dashboard!$E$7,Lists!$AD$6:$AD$10,0)-1),0), IF(Dashboard!$E$3=Lists!$X$7,IF(Dashboard!$E$7=2020,Vehicle!J289,Vehicle!J269), IF(Dashboard!$E$3=Lists!$X$8,J309, IF(Dashboard!$E$3=Lists!$X$9,J49,""))))</f>
        <v>469069.8166402097</v>
      </c>
      <c r="K29" s="10">
        <f ca="1">IF(Dashboard!$E$3=Lists!$X$6,$G$14*OFFSET(K69,100*(MATCH(Dashboard!$E$11,Lists!$AB$6:$AB$7,0)-1) + 20*(MATCH(Dashboard!$E$7,Lists!$AD$6:$AD$10,0)-1),0), IF(Dashboard!$E$3=Lists!$X$7,IF(Dashboard!$E$7=2020,Vehicle!K289,Vehicle!K269), IF(Dashboard!$E$3=Lists!$X$8,K309, IF(Dashboard!$E$3=Lists!$X$9,K49,""))))</f>
        <v>804277.33590629941</v>
      </c>
      <c r="M29" t="s">
        <v>116</v>
      </c>
      <c r="N29" s="10">
        <f ca="1">IF(Dashboard!$E$3=Lists!$X$6,OFFSET(N69,100*(MATCH(Dashboard!$E$11,Lists!$AB$6:$AB$7,0)-1) + 20*(MATCH(Dashboard!$E$7,Lists!$AD$6:$AD$10,0)-1),0), IF(Dashboard!$E$3=Lists!$X$7,IF(Dashboard!$E$7=2020,Vehicle!N289,Vehicle!N269), IF(Dashboard!$E$3=Lists!$X$8,N309, IF(Dashboard!$E$3=Lists!$X$9,N49,""))))</f>
        <v>0</v>
      </c>
      <c r="O29" s="10">
        <f ca="1">IF(Dashboard!$E$3=Lists!$X$6,OFFSET(O69,100*(MATCH(Dashboard!$E$11,Lists!$AB$6:$AB$7,0)-1) + 20*(MATCH(Dashboard!$E$7,Lists!$AD$6:$AD$10,0)-1),0), IF(Dashboard!$E$3=Lists!$X$7,IF(Dashboard!$E$7=2020,Vehicle!O289,Vehicle!O269), IF(Dashboard!$E$3=Lists!$X$8,O309, IF(Dashboard!$E$3=Lists!$X$9,O49,""))))</f>
        <v>6.1418143450536231</v>
      </c>
      <c r="P29" s="10">
        <f ca="1">IF(Dashboard!$E$3=Lists!$X$6,OFFSET(P69,100*(MATCH(Dashboard!$E$11,Lists!$AB$6:$AB$7,0)-1) + 20*(MATCH(Dashboard!$E$7,Lists!$AD$6:$AD$10,0)-1),0), IF(Dashboard!$E$3=Lists!$X$7,IF(Dashboard!$E$7=2020,Vehicle!P289,Vehicle!P269), IF(Dashboard!$E$3=Lists!$X$8,P309, IF(Dashboard!$E$3=Lists!$X$9,P49,""))))</f>
        <v>6.1083034264468887</v>
      </c>
      <c r="Q29" s="10">
        <f ca="1">IF(Dashboard!$E$3=Lists!$X$6,OFFSET(Q69,100*(MATCH(Dashboard!$E$11,Lists!$AB$6:$AB$7,0)-1) + 20*(MATCH(Dashboard!$E$7,Lists!$AD$6:$AD$10,0)-1),0), IF(Dashboard!$E$3=Lists!$X$7,IF(Dashboard!$E$7=2020,Vehicle!Q289,Vehicle!Q269), IF(Dashboard!$E$3=Lists!$X$8,Q309, IF(Dashboard!$E$3=Lists!$X$9,Q49,""))))</f>
        <v>6.1967880780091038</v>
      </c>
      <c r="R29" s="10">
        <f ca="1">IF(Dashboard!$E$3=Lists!$X$6,OFFSET(R69,100*(MATCH(Dashboard!$E$11,Lists!$AB$6:$AB$7,0)-1) + 20*(MATCH(Dashboard!$E$7,Lists!$AD$6:$AD$10,0)-1),0), IF(Dashboard!$E$3=Lists!$X$7,IF(Dashboard!$E$7=2020,Vehicle!R289,Vehicle!R269), IF(Dashboard!$E$3=Lists!$X$8,R309, IF(Dashboard!$E$3=Lists!$X$9,R49,""))))</f>
        <v>6.2888010628684681</v>
      </c>
      <c r="S29" s="10">
        <f ca="1">IF(Dashboard!$E$3=Lists!$X$6,OFFSET(S69,100*(MATCH(Dashboard!$E$11,Lists!$AB$6:$AB$7,0)-1) + 20*(MATCH(Dashboard!$E$7,Lists!$AD$6:$AD$10,0)-1),0), IF(Dashboard!$E$3=Lists!$X$7,IF(Dashboard!$E$7=2020,Vehicle!S289,Vehicle!S269), IF(Dashboard!$E$3=Lists!$X$8,S309, IF(Dashboard!$E$3=Lists!$X$9,S49,""))))</f>
        <v>11.901953294377487</v>
      </c>
      <c r="U29" t="s">
        <v>116</v>
      </c>
      <c r="V29" s="10">
        <f ca="1">IF(Dashboard!$E$3=Lists!$X$6,OFFSET(V69,100*(MATCH(Dashboard!$E$11,Lists!$AB$6:$AB$7,0)-1) + 20*(MATCH(Dashboard!$E$7,Lists!$AD$6:$AD$10,0)-1),0), IF(Dashboard!$E$3=Lists!$X$7,IF(Dashboard!$E$7=2020,Vehicle!V289,Vehicle!V269), IF(Dashboard!$E$3=Lists!$X$8,V309, IF(Dashboard!$E$3=Lists!$X$9,V49,""))))</f>
        <v>0</v>
      </c>
      <c r="W29" s="10">
        <f ca="1">IF(Dashboard!$E$3=Lists!$X$6,OFFSET(W69,100*(MATCH(Dashboard!$E$11,Lists!$AB$6:$AB$7,0)-1) + 20*(MATCH(Dashboard!$E$7,Lists!$AD$6:$AD$10,0)-1),0), IF(Dashboard!$E$3=Lists!$X$7,IF(Dashboard!$E$7=2020,Vehicle!W289,Vehicle!W269), IF(Dashboard!$E$3=Lists!$X$8,W309, IF(Dashboard!$E$3=Lists!$X$9,W49,""))))</f>
        <v>64752.573392089995</v>
      </c>
      <c r="X29" s="10">
        <f ca="1">IF(Dashboard!$E$3=Lists!$X$6,OFFSET(X69,100*(MATCH(Dashboard!$E$11,Lists!$AB$6:$AB$7,0)-1) + 20*(MATCH(Dashboard!$E$7,Lists!$AD$6:$AD$10,0)-1),0), IF(Dashboard!$E$3=Lists!$X$7,IF(Dashboard!$E$7=2020,Vehicle!X289,Vehicle!X269), IF(Dashboard!$E$3=Lists!$X$8,X309, IF(Dashboard!$E$3=Lists!$X$9,X49,""))))</f>
        <v>65290.5021012988</v>
      </c>
      <c r="Y29" s="10">
        <f ca="1">IF(Dashboard!$E$3=Lists!$X$6,OFFSET(Y69,100*(MATCH(Dashboard!$E$11,Lists!$AB$6:$AB$7,0)-1) + 20*(MATCH(Dashboard!$E$7,Lists!$AD$6:$AD$10,0)-1),0), IF(Dashboard!$E$3=Lists!$X$7,IF(Dashboard!$E$7=2020,Vehicle!Y289,Vehicle!Y269), IF(Dashboard!$E$3=Lists!$X$8,Y309, IF(Dashboard!$E$3=Lists!$X$9,Y49,""))))</f>
        <v>70078.181213788834</v>
      </c>
      <c r="Z29" s="10">
        <f ca="1">IF(Dashboard!$E$3=Lists!$X$6,OFFSET(Z69,100*(MATCH(Dashboard!$E$11,Lists!$AB$6:$AB$7,0)-1) + 20*(MATCH(Dashboard!$E$7,Lists!$AD$6:$AD$10,0)-1),0), IF(Dashboard!$E$3=Lists!$X$7,IF(Dashboard!$E$7=2020,Vehicle!Z289,Vehicle!Z269), IF(Dashboard!$E$3=Lists!$X$8,Z309, IF(Dashboard!$E$3=Lists!$X$9,Z49,""))))</f>
        <v>66347.687461890222</v>
      </c>
      <c r="AA29" s="10">
        <f ca="1">IF(Dashboard!$E$3=Lists!$X$6,OFFSET(AA69,100*(MATCH(Dashboard!$E$11,Lists!$AB$6:$AB$7,0)-1) + 20*(MATCH(Dashboard!$E$7,Lists!$AD$6:$AD$10,0)-1),0), IF(Dashboard!$E$3=Lists!$X$7,IF(Dashboard!$E$7=2020,Vehicle!AA289,Vehicle!AA269), IF(Dashboard!$E$3=Lists!$X$8,AA309, IF(Dashboard!$E$3=Lists!$X$9,AA49,""))))</f>
        <v>70713.877392650946</v>
      </c>
      <c r="AC29" s="10">
        <f ca="1">IF(Dashboard!$E$3=Lists!$X$6,OFFSET(AC69,100*(MATCH(Dashboard!$E$11,Lists!$AB$6:$AB$7,0)-1) + 20*(MATCH(Dashboard!$E$7,Lists!$AD$6:$AD$10,0)-1),0), IF(Dashboard!$E$3=Lists!$X$7,Vehicle!AC269, IF(Dashboard!$E$3=Lists!$X$8,AC289, IF(Dashboard!$E$3=Lists!$X$9,AC49,""))))</f>
        <v>38192.102080154</v>
      </c>
      <c r="AD29" s="36">
        <f ca="1">IF(Dashboard!$E$3=Lists!$X$6,OFFSET(AD69,100*(MATCH(Dashboard!$E$11,Lists!$AB$6:$AB$7,0)-1) + 20*(MATCH(Dashboard!$E$7,Lists!$AD$6:$AD$10,0)-1),0), IF(Dashboard!$E$3=Lists!$X$7,Vehicle!AD269, IF(Dashboard!$E$3=Lists!$X$8,AD289, IF(Dashboard!$E$3=Lists!$X$9,AD49,""))))</f>
        <v>0.31471651539298884</v>
      </c>
    </row>
    <row r="30" spans="1:47" x14ac:dyDescent="0.45">
      <c r="A30" s="6">
        <f ca="1">$A$14*(1-A23)</f>
        <v>428727.69221337</v>
      </c>
      <c r="C30" s="6">
        <f ca="1">C27*A20*12</f>
        <v>476030.05279752822</v>
      </c>
      <c r="E30" t="s">
        <v>117</v>
      </c>
      <c r="F30" s="10">
        <f ca="1">IF(Dashboard!$E$3=Lists!$X$6,$G$14*OFFSET(F70,100*(MATCH(Dashboard!$E$11,Lists!$AB$6:$AB$7,0)-1) + 20*(MATCH(Dashboard!$E$7,Lists!$AD$6:$AD$10,0)-1),0), IF(Dashboard!$E$3=Lists!$X$7,IF(Dashboard!$E$7=2020,Vehicle!F290,Vehicle!F270), IF(Dashboard!$E$3=Lists!$X$8,F310, IF(Dashboard!$E$3=Lists!$X$9,F50,""))))</f>
        <v>0</v>
      </c>
      <c r="G30" s="10">
        <f ca="1">IF(Dashboard!$E$3=Lists!$X$6,$G$14*OFFSET(G70,100*(MATCH(Dashboard!$E$11,Lists!$AB$6:$AB$7,0)-1) + 20*(MATCH(Dashboard!$E$7,Lists!$AD$6:$AD$10,0)-1),0), IF(Dashboard!$E$3=Lists!$X$7,IF(Dashboard!$E$7=2020,Vehicle!G290,Vehicle!G270), IF(Dashboard!$E$3=Lists!$X$8,G310, IF(Dashboard!$E$3=Lists!$X$9,G50,""))))</f>
        <v>145157.70985031634</v>
      </c>
      <c r="H30" s="10">
        <f ca="1">IF(Dashboard!$E$3=Lists!$X$6,$G$14*OFFSET(H70,100*(MATCH(Dashboard!$E$11,Lists!$AB$6:$AB$7,0)-1) + 20*(MATCH(Dashboard!$E$7,Lists!$AD$6:$AD$10,0)-1),0), IF(Dashboard!$E$3=Lists!$X$7,IF(Dashboard!$E$7=2020,Vehicle!H290,Vehicle!H270), IF(Dashboard!$E$3=Lists!$X$8,H310, IF(Dashboard!$E$3=Lists!$X$9,H50,""))))</f>
        <v>165779.90586443534</v>
      </c>
      <c r="I30" s="10">
        <f ca="1">IF(Dashboard!$E$3=Lists!$X$6,$G$14*OFFSET(I70,100*(MATCH(Dashboard!$E$11,Lists!$AB$6:$AB$7,0)-1) + 20*(MATCH(Dashboard!$E$7,Lists!$AD$6:$AD$10,0)-1),0), IF(Dashboard!$E$3=Lists!$X$7,IF(Dashboard!$E$7=2020,Vehicle!I290,Vehicle!I270), IF(Dashboard!$E$3=Lists!$X$8,I310, IF(Dashboard!$E$3=Lists!$X$9,I50,""))))</f>
        <v>394117.74028186704</v>
      </c>
      <c r="J30" s="10">
        <f ca="1">IF(Dashboard!$E$3=Lists!$X$6,$G$14*OFFSET(J70,100*(MATCH(Dashboard!$E$11,Lists!$AB$6:$AB$7,0)-1) + 20*(MATCH(Dashboard!$E$7,Lists!$AD$6:$AD$10,0)-1),0), IF(Dashboard!$E$3=Lists!$X$7,IF(Dashboard!$E$7=2020,Vehicle!J290,Vehicle!J270), IF(Dashboard!$E$3=Lists!$X$8,J310, IF(Dashboard!$E$3=Lists!$X$9,J50,""))))</f>
        <v>307334.98788872943</v>
      </c>
      <c r="K30" s="10">
        <f ca="1">IF(Dashboard!$E$3=Lists!$X$6,$G$14*OFFSET(K70,100*(MATCH(Dashboard!$E$11,Lists!$AB$6:$AB$7,0)-1) + 20*(MATCH(Dashboard!$E$7,Lists!$AD$6:$AD$10,0)-1),0), IF(Dashboard!$E$3=Lists!$X$7,IF(Dashboard!$E$7=2020,Vehicle!K290,Vehicle!K270), IF(Dashboard!$E$3=Lists!$X$8,K310, IF(Dashboard!$E$3=Lists!$X$9,K50,""))))</f>
        <v>587303.91268278088</v>
      </c>
      <c r="M30" t="s">
        <v>117</v>
      </c>
      <c r="N30" s="10">
        <f ca="1">IF(Dashboard!$E$3=Lists!$X$6,OFFSET(N70,100*(MATCH(Dashboard!$E$11,Lists!$AB$6:$AB$7,0)-1) + 20*(MATCH(Dashboard!$E$7,Lists!$AD$6:$AD$10,0)-1),0), IF(Dashboard!$E$3=Lists!$X$7,IF(Dashboard!$E$7=2020,Vehicle!N290,Vehicle!N270), IF(Dashboard!$E$3=Lists!$X$8,N310, IF(Dashboard!$E$3=Lists!$X$9,N50,""))))</f>
        <v>0</v>
      </c>
      <c r="O30" s="10">
        <f ca="1">IF(Dashboard!$E$3=Lists!$X$6,OFFSET(O70,100*(MATCH(Dashboard!$E$11,Lists!$AB$6:$AB$7,0)-1) + 20*(MATCH(Dashboard!$E$7,Lists!$AD$6:$AD$10,0)-1),0), IF(Dashboard!$E$3=Lists!$X$7,IF(Dashboard!$E$7=2020,Vehicle!O290,Vehicle!O270), IF(Dashboard!$E$3=Lists!$X$8,O310, IF(Dashboard!$E$3=Lists!$X$9,O50,""))))</f>
        <v>7.0070616114640893</v>
      </c>
      <c r="P30" s="10">
        <f ca="1">IF(Dashboard!$E$3=Lists!$X$6,OFFSET(P70,100*(MATCH(Dashboard!$E$11,Lists!$AB$6:$AB$7,0)-1) + 20*(MATCH(Dashboard!$E$7,Lists!$AD$6:$AD$10,0)-1),0), IF(Dashboard!$E$3=Lists!$X$7,IF(Dashboard!$E$7=2020,Vehicle!P290,Vehicle!P270), IF(Dashboard!$E$3=Lists!$X$8,P310, IF(Dashboard!$E$3=Lists!$X$9,P50,""))))</f>
        <v>7.9757119367259772</v>
      </c>
      <c r="Q30" s="10">
        <f ca="1">IF(Dashboard!$E$3=Lists!$X$6,OFFSET(Q70,100*(MATCH(Dashboard!$E$11,Lists!$AB$6:$AB$7,0)-1) + 20*(MATCH(Dashboard!$E$7,Lists!$AD$6:$AD$10,0)-1),0), IF(Dashboard!$E$3=Lists!$X$7,IF(Dashboard!$E$7=2020,Vehicle!Q290,Vehicle!Q270), IF(Dashboard!$E$3=Lists!$X$8,Q310, IF(Dashboard!$E$3=Lists!$X$9,Q50,""))))</f>
        <v>10.900924662288375</v>
      </c>
      <c r="R30" s="10">
        <f ca="1">IF(Dashboard!$E$3=Lists!$X$6,OFFSET(R70,100*(MATCH(Dashboard!$E$11,Lists!$AB$6:$AB$7,0)-1) + 20*(MATCH(Dashboard!$E$7,Lists!$AD$6:$AD$10,0)-1),0), IF(Dashboard!$E$3=Lists!$X$7,IF(Dashboard!$E$7=2020,Vehicle!R290,Vehicle!R270), IF(Dashboard!$E$3=Lists!$X$8,R310, IF(Dashboard!$E$3=Lists!$X$9,R50,""))))</f>
        <v>9.3064336455839776</v>
      </c>
      <c r="S30" s="10">
        <f ca="1">IF(Dashboard!$E$3=Lists!$X$6,OFFSET(S70,100*(MATCH(Dashboard!$E$11,Lists!$AB$6:$AB$7,0)-1) + 20*(MATCH(Dashboard!$E$7,Lists!$AD$6:$AD$10,0)-1),0), IF(Dashboard!$E$3=Lists!$X$7,IF(Dashboard!$E$7=2020,Vehicle!S290,Vehicle!S270), IF(Dashboard!$E$3=Lists!$X$8,S310, IF(Dashboard!$E$3=Lists!$X$9,S50,""))))</f>
        <v>17.464383354107841</v>
      </c>
      <c r="U30" t="s">
        <v>117</v>
      </c>
      <c r="V30" s="10">
        <f ca="1">IF(Dashboard!$E$3=Lists!$X$6,OFFSET(V70,100*(MATCH(Dashboard!$E$11,Lists!$AB$6:$AB$7,0)-1) + 20*(MATCH(Dashboard!$E$7,Lists!$AD$6:$AD$10,0)-1),0), IF(Dashboard!$E$3=Lists!$X$7,IF(Dashboard!$E$7=2020,Vehicle!V290,Vehicle!V270), IF(Dashboard!$E$3=Lists!$X$8,V310, IF(Dashboard!$E$3=Lists!$X$9,V50,""))))</f>
        <v>0</v>
      </c>
      <c r="W30" s="10">
        <f ca="1">IF(Dashboard!$E$3=Lists!$X$6,OFFSET(W70,100*(MATCH(Dashboard!$E$11,Lists!$AB$6:$AB$7,0)-1) + 20*(MATCH(Dashboard!$E$7,Lists!$AD$6:$AD$10,0)-1),0), IF(Dashboard!$E$3=Lists!$X$7,IF(Dashboard!$E$7=2020,Vehicle!W290,Vehicle!W270), IF(Dashboard!$E$3=Lists!$X$8,W310, IF(Dashboard!$E$3=Lists!$X$9,W50,""))))</f>
        <v>41320.260187029511</v>
      </c>
      <c r="X30" s="10">
        <f ca="1">IF(Dashboard!$E$3=Lists!$X$6,OFFSET(X70,100*(MATCH(Dashboard!$E$11,Lists!$AB$6:$AB$7,0)-1) + 20*(MATCH(Dashboard!$E$7,Lists!$AD$6:$AD$10,0)-1),0), IF(Dashboard!$E$3=Lists!$X$7,IF(Dashboard!$E$7=2020,Vehicle!X290,Vehicle!X270), IF(Dashboard!$E$3=Lists!$X$8,X310, IF(Dashboard!$E$3=Lists!$X$9,X50,""))))</f>
        <v>42160.696727138296</v>
      </c>
      <c r="Y30" s="10">
        <f ca="1">IF(Dashboard!$E$3=Lists!$X$6,OFFSET(Y70,100*(MATCH(Dashboard!$E$11,Lists!$AB$6:$AB$7,0)-1) + 20*(MATCH(Dashboard!$E$7,Lists!$AD$6:$AD$10,0)-1),0), IF(Dashboard!$E$3=Lists!$X$7,IF(Dashboard!$E$7=2020,Vehicle!Y290,Vehicle!Y270), IF(Dashboard!$E$3=Lists!$X$8,Y310, IF(Dashboard!$E$3=Lists!$X$9,Y50,""))))</f>
        <v>46351.807328297626</v>
      </c>
      <c r="Z30" s="10">
        <f ca="1">IF(Dashboard!$E$3=Lists!$X$6,OFFSET(Z70,100*(MATCH(Dashboard!$E$11,Lists!$AB$6:$AB$7,0)-1) + 20*(MATCH(Dashboard!$E$7,Lists!$AD$6:$AD$10,0)-1),0), IF(Dashboard!$E$3=Lists!$X$7,IF(Dashboard!$E$7=2020,Vehicle!Z290,Vehicle!Z270), IF(Dashboard!$E$3=Lists!$X$8,Z310, IF(Dashboard!$E$3=Lists!$X$9,Z50,""))))</f>
        <v>42902.55356623105</v>
      </c>
      <c r="AA30" s="10">
        <f ca="1">IF(Dashboard!$E$3=Lists!$X$6,OFFSET(AA70,100*(MATCH(Dashboard!$E$11,Lists!$AB$6:$AB$7,0)-1) + 20*(MATCH(Dashboard!$E$7,Lists!$AD$6:$AD$10,0)-1),0), IF(Dashboard!$E$3=Lists!$X$7,IF(Dashboard!$E$7=2020,Vehicle!AA290,Vehicle!AA270), IF(Dashboard!$E$3=Lists!$X$8,AA310, IF(Dashboard!$E$3=Lists!$X$9,AA50,""))))</f>
        <v>46402.947375642296</v>
      </c>
      <c r="AC30" s="10">
        <f ca="1">IF(Dashboard!$E$3=Lists!$X$6,OFFSET(AC70,100*(MATCH(Dashboard!$E$11,Lists!$AB$6:$AB$7,0)-1) + 20*(MATCH(Dashboard!$E$7,Lists!$AD$6:$AD$10,0)-1),0), IF(Dashboard!$E$3=Lists!$X$7,Vehicle!AC270, IF(Dashboard!$E$3=Lists!$X$8,AC290, IF(Dashboard!$E$3=Lists!$X$9,AC50,""))))</f>
        <v>15153.969907845998</v>
      </c>
      <c r="AD30" s="36">
        <f ca="1">IF(Dashboard!$E$3=Lists!$X$6,OFFSET(AD70,100*(MATCH(Dashboard!$E$11,Lists!$AB$6:$AB$7,0)-1) + 20*(MATCH(Dashboard!$E$7,Lists!$AD$6:$AD$10,0)-1),0), IF(Dashboard!$E$3=Lists!$X$7,Vehicle!AD270, IF(Dashboard!$E$3=Lists!$X$8,AD290, IF(Dashboard!$E$3=Lists!$X$9,AD50,""))))</f>
        <v>0.57889703177861507</v>
      </c>
    </row>
    <row r="31" spans="1:47" x14ac:dyDescent="0.45">
      <c r="E31" t="s">
        <v>124</v>
      </c>
      <c r="F31" s="10">
        <f ca="1">IF(Dashboard!$E$3=Lists!$X$6,$G$14*OFFSET(F71,100*(MATCH(Dashboard!$E$11,Lists!$AB$6:$AB$7,0)-1) + 20*(MATCH(Dashboard!$E$7,Lists!$AD$6:$AD$10,0)-1),0), IF(Dashboard!$E$3=Lists!$X$7,IF(Dashboard!$E$7=2020,Vehicle!F291,Vehicle!F271), IF(Dashboard!$E$3=Lists!$X$8,F311, IF(Dashboard!$E$3=Lists!$X$9,F51,""))))</f>
        <v>0</v>
      </c>
      <c r="G31" s="10">
        <f ca="1">IF(Dashboard!$E$3=Lists!$X$6,$G$14*OFFSET(G71,100*(MATCH(Dashboard!$E$11,Lists!$AB$6:$AB$7,0)-1) + 20*(MATCH(Dashboard!$E$7,Lists!$AD$6:$AD$10,0)-1),0), IF(Dashboard!$E$3=Lists!$X$7,IF(Dashboard!$E$7=2020,Vehicle!G291,Vehicle!G271), IF(Dashboard!$E$3=Lists!$X$8,G311, IF(Dashboard!$E$3=Lists!$X$9,G51,""))))</f>
        <v>110158.97157217271</v>
      </c>
      <c r="H31" s="10">
        <f ca="1">IF(Dashboard!$E$3=Lists!$X$6,$G$14*OFFSET(H71,100*(MATCH(Dashboard!$E$11,Lists!$AB$6:$AB$7,0)-1) + 20*(MATCH(Dashboard!$E$7,Lists!$AD$6:$AD$10,0)-1),0), IF(Dashboard!$E$3=Lists!$X$7,IF(Dashboard!$E$7=2020,Vehicle!H291,Vehicle!H271), IF(Dashboard!$E$3=Lists!$X$8,H311, IF(Dashboard!$E$3=Lists!$X$9,H51,""))))</f>
        <v>130772.86179283971</v>
      </c>
      <c r="I31" s="10">
        <f ca="1">IF(Dashboard!$E$3=Lists!$X$6,$G$14*OFFSET(I71,100*(MATCH(Dashboard!$E$11,Lists!$AB$6:$AB$7,0)-1) + 20*(MATCH(Dashboard!$E$7,Lists!$AD$6:$AD$10,0)-1),0), IF(Dashboard!$E$3=Lists!$X$7,IF(Dashboard!$E$7=2020,Vehicle!I291,Vehicle!I271), IF(Dashboard!$E$3=Lists!$X$8,I311, IF(Dashboard!$E$3=Lists!$X$9,I51,""))))</f>
        <v>253894.95746046305</v>
      </c>
      <c r="J31" s="10">
        <f ca="1">IF(Dashboard!$E$3=Lists!$X$6,$G$14*OFFSET(J71,100*(MATCH(Dashboard!$E$11,Lists!$AB$6:$AB$7,0)-1) + 20*(MATCH(Dashboard!$E$7,Lists!$AD$6:$AD$10,0)-1),0), IF(Dashboard!$E$3=Lists!$X$7,IF(Dashboard!$E$7=2020,Vehicle!J291,Vehicle!J271), IF(Dashboard!$E$3=Lists!$X$8,J311, IF(Dashboard!$E$3=Lists!$X$9,J51,""))))</f>
        <v>237722.18585438409</v>
      </c>
      <c r="K31" s="10">
        <f ca="1">IF(Dashboard!$E$3=Lists!$X$6,$G$14*OFFSET(K71,100*(MATCH(Dashboard!$E$11,Lists!$AB$6:$AB$7,0)-1) + 20*(MATCH(Dashboard!$E$7,Lists!$AD$6:$AD$10,0)-1),0), IF(Dashboard!$E$3=Lists!$X$7,IF(Dashboard!$E$7=2020,Vehicle!K291,Vehicle!K271), IF(Dashboard!$E$3=Lists!$X$8,K311, IF(Dashboard!$E$3=Lists!$X$9,K51,""))))</f>
        <v>347759.31961520889</v>
      </c>
      <c r="M31" t="s">
        <v>124</v>
      </c>
      <c r="N31" s="10">
        <f ca="1">IF(Dashboard!$E$3=Lists!$X$6,OFFSET(N71,100*(MATCH(Dashboard!$E$11,Lists!$AB$6:$AB$7,0)-1) + 20*(MATCH(Dashboard!$E$7,Lists!$AD$6:$AD$10,0)-1),0), IF(Dashboard!$E$3=Lists!$X$7,IF(Dashboard!$E$7=2020,Vehicle!N291,Vehicle!N271), IF(Dashboard!$E$3=Lists!$X$8,N311, IF(Dashboard!$E$3=Lists!$X$9,N51,""))))</f>
        <v>0</v>
      </c>
      <c r="O31" s="10">
        <f ca="1">IF(Dashboard!$E$3=Lists!$X$6,OFFSET(O71,100*(MATCH(Dashboard!$E$11,Lists!$AB$6:$AB$7,0)-1) + 20*(MATCH(Dashboard!$E$7,Lists!$AD$6:$AD$10,0)-1),0), IF(Dashboard!$E$3=Lists!$X$7,IF(Dashboard!$E$7=2020,Vehicle!O291,Vehicle!O271), IF(Dashboard!$E$3=Lists!$X$8,O311, IF(Dashboard!$E$3=Lists!$X$9,O51,""))))</f>
        <v>10.175438648161142</v>
      </c>
      <c r="P31" s="10">
        <f ca="1">IF(Dashboard!$E$3=Lists!$X$6,OFFSET(P71,100*(MATCH(Dashboard!$E$11,Lists!$AB$6:$AB$7,0)-1) + 20*(MATCH(Dashboard!$E$7,Lists!$AD$6:$AD$10,0)-1),0), IF(Dashboard!$E$3=Lists!$X$7,IF(Dashboard!$E$7=2020,Vehicle!P291,Vehicle!P271), IF(Dashboard!$E$3=Lists!$X$8,P311, IF(Dashboard!$E$3=Lists!$X$9,P51,""))))</f>
        <v>11.28391360170785</v>
      </c>
      <c r="Q31" s="10">
        <f ca="1">IF(Dashboard!$E$3=Lists!$X$6,OFFSET(Q71,100*(MATCH(Dashboard!$E$11,Lists!$AB$6:$AB$7,0)-1) + 20*(MATCH(Dashboard!$E$7,Lists!$AD$6:$AD$10,0)-1),0), IF(Dashboard!$E$3=Lists!$X$7,IF(Dashboard!$E$7=2020,Vehicle!Q291,Vehicle!Q271), IF(Dashboard!$E$3=Lists!$X$8,Q311, IF(Dashboard!$E$3=Lists!$X$9,Q51,""))))</f>
        <v>16.973272349159434</v>
      </c>
      <c r="R31" s="10">
        <f ca="1">IF(Dashboard!$E$3=Lists!$X$6,OFFSET(R71,100*(MATCH(Dashboard!$E$11,Lists!$AB$6:$AB$7,0)-1) + 20*(MATCH(Dashboard!$E$7,Lists!$AD$6:$AD$10,0)-1),0), IF(Dashboard!$E$3=Lists!$X$7,IF(Dashboard!$E$7=2020,Vehicle!R291,Vehicle!R271), IF(Dashboard!$E$3=Lists!$X$8,R311, IF(Dashboard!$E$3=Lists!$X$9,R51,""))))</f>
        <v>14.366121755050621</v>
      </c>
      <c r="S31" s="10">
        <f ca="1">IF(Dashboard!$E$3=Lists!$X$6,OFFSET(S71,100*(MATCH(Dashboard!$E$11,Lists!$AB$6:$AB$7,0)-1) + 20*(MATCH(Dashboard!$E$7,Lists!$AD$6:$AD$10,0)-1),0), IF(Dashboard!$E$3=Lists!$X$7,IF(Dashboard!$E$7=2020,Vehicle!S291,Vehicle!S271), IF(Dashboard!$E$3=Lists!$X$8,S311, IF(Dashboard!$E$3=Lists!$X$9,S51,""))))</f>
        <v>27.413757627854547</v>
      </c>
      <c r="U31" t="s">
        <v>124</v>
      </c>
      <c r="V31" s="10">
        <f ca="1">IF(Dashboard!$E$3=Lists!$X$6,OFFSET(V71,100*(MATCH(Dashboard!$E$11,Lists!$AB$6:$AB$7,0)-1) + 20*(MATCH(Dashboard!$E$7,Lists!$AD$6:$AD$10,0)-1),0), IF(Dashboard!$E$3=Lists!$X$7,IF(Dashboard!$E$7=2020,Vehicle!V291,Vehicle!V271), IF(Dashboard!$E$3=Lists!$X$8,V311, IF(Dashboard!$E$3=Lists!$X$9,V51,""))))</f>
        <v>0</v>
      </c>
      <c r="W31" s="10">
        <f ca="1">IF(Dashboard!$E$3=Lists!$X$6,OFFSET(W71,100*(MATCH(Dashboard!$E$11,Lists!$AB$6:$AB$7,0)-1) + 20*(MATCH(Dashboard!$E$7,Lists!$AD$6:$AD$10,0)-1),0), IF(Dashboard!$E$3=Lists!$X$7,IF(Dashboard!$E$7=2020,Vehicle!W291,Vehicle!W271), IF(Dashboard!$E$3=Lists!$X$8,W311, IF(Dashboard!$E$3=Lists!$X$9,W51,""))))</f>
        <v>23012.631426141626</v>
      </c>
      <c r="X31" s="10">
        <f ca="1">IF(Dashboard!$E$3=Lists!$X$6,OFFSET(X71,100*(MATCH(Dashboard!$E$11,Lists!$AB$6:$AB$7,0)-1) + 20*(MATCH(Dashboard!$E$7,Lists!$AD$6:$AD$10,0)-1),0), IF(Dashboard!$E$3=Lists!$X$7,IF(Dashboard!$E$7=2020,Vehicle!X291,Vehicle!X271), IF(Dashboard!$E$3=Lists!$X$8,X311, IF(Dashboard!$E$3=Lists!$X$9,X51,""))))</f>
        <v>23903.276360063999</v>
      </c>
      <c r="Y31" s="10">
        <f ca="1">IF(Dashboard!$E$3=Lists!$X$6,OFFSET(Y71,100*(MATCH(Dashboard!$E$11,Lists!$AB$6:$AB$7,0)-1) + 20*(MATCH(Dashboard!$E$7,Lists!$AD$6:$AD$10,0)-1),0), IF(Dashboard!$E$3=Lists!$X$7,IF(Dashboard!$E$7=2020,Vehicle!Y291,Vehicle!Y271), IF(Dashboard!$E$3=Lists!$X$8,Y311, IF(Dashboard!$E$3=Lists!$X$9,Y51,""))))</f>
        <v>26518.621795946765</v>
      </c>
      <c r="Z31" s="10">
        <f ca="1">IF(Dashboard!$E$3=Lists!$X$6,OFFSET(Z71,100*(MATCH(Dashboard!$E$11,Lists!$AB$6:$AB$7,0)-1) + 20*(MATCH(Dashboard!$E$7,Lists!$AD$6:$AD$10,0)-1),0), IF(Dashboard!$E$3=Lists!$X$7,IF(Dashboard!$E$7=2020,Vehicle!Z291,Vehicle!Z271), IF(Dashboard!$E$3=Lists!$X$8,Z311, IF(Dashboard!$E$3=Lists!$X$9,Z51,""))))</f>
        <v>24130.484100209032</v>
      </c>
      <c r="AA31" s="10">
        <f ca="1">IF(Dashboard!$E$3=Lists!$X$6,OFFSET(AA71,100*(MATCH(Dashboard!$E$11,Lists!$AB$6:$AB$7,0)-1) + 20*(MATCH(Dashboard!$E$7,Lists!$AD$6:$AD$10,0)-1),0), IF(Dashboard!$E$3=Lists!$X$7,IF(Dashboard!$E$7=2020,Vehicle!AA291,Vehicle!AA271), IF(Dashboard!$E$3=Lists!$X$8,AA311, IF(Dashboard!$E$3=Lists!$X$9,AA51,""))))</f>
        <v>25273.425950744535</v>
      </c>
      <c r="AC31" s="10">
        <f ca="1">IF(Dashboard!$E$3=Lists!$X$6,OFFSET(AC71,100*(MATCH(Dashboard!$E$11,Lists!$AB$6:$AB$7,0)-1) + 20*(MATCH(Dashboard!$E$7,Lists!$AD$6:$AD$10,0)-1),0), IF(Dashboard!$E$3=Lists!$X$7,Vehicle!AC271, IF(Dashboard!$E$3=Lists!$X$8,AC291, IF(Dashboard!$E$3=Lists!$X$9,AC51,""))))</f>
        <v>11345.262884295998</v>
      </c>
      <c r="AD31" s="36">
        <f ca="1">IF(Dashboard!$E$3=Lists!$X$6,OFFSET(AD71,100*(MATCH(Dashboard!$E$11,Lists!$AB$6:$AB$7,0)-1) + 20*(MATCH(Dashboard!$E$7,Lists!$AD$6:$AD$10,0)-1),0), IF(Dashboard!$E$3=Lists!$X$7,Vehicle!AD271, IF(Dashboard!$E$3=Lists!$X$8,AD291, IF(Dashboard!$E$3=Lists!$X$9,AD51,""))))</f>
        <v>0.65204758831803677</v>
      </c>
    </row>
    <row r="32" spans="1:47" x14ac:dyDescent="0.45">
      <c r="E32" t="s">
        <v>125</v>
      </c>
      <c r="F32" s="10">
        <f ca="1">IF(Dashboard!$E$3=Lists!$X$6,$G$14*OFFSET(F72,100*(MATCH(Dashboard!$E$11,Lists!$AB$6:$AB$7,0)-1) + 20*(MATCH(Dashboard!$E$7,Lists!$AD$6:$AD$10,0)-1),0), IF(Dashboard!$E$3=Lists!$X$7,IF(Dashboard!$E$7=2020,Vehicle!F292,Vehicle!F272), IF(Dashboard!$E$3=Lists!$X$8,F312, IF(Dashboard!$E$3=Lists!$X$9,F52,""))))</f>
        <v>0</v>
      </c>
      <c r="G32" s="10">
        <f ca="1">IF(Dashboard!$E$3=Lists!$X$6,$G$14*OFFSET(G72,100*(MATCH(Dashboard!$E$11,Lists!$AB$6:$AB$7,0)-1) + 20*(MATCH(Dashboard!$E$7,Lists!$AD$6:$AD$10,0)-1),0), IF(Dashboard!$E$3=Lists!$X$7,IF(Dashboard!$E$7=2020,Vehicle!G292,Vehicle!G272), IF(Dashboard!$E$3=Lists!$X$8,G312, IF(Dashboard!$E$3=Lists!$X$9,G52,""))))</f>
        <v>88576.382330191816</v>
      </c>
      <c r="H32" s="10">
        <f ca="1">IF(Dashboard!$E$3=Lists!$X$6,$G$14*OFFSET(H72,100*(MATCH(Dashboard!$E$11,Lists!$AB$6:$AB$7,0)-1) + 20*(MATCH(Dashboard!$E$7,Lists!$AD$6:$AD$10,0)-1),0), IF(Dashboard!$E$3=Lists!$X$7,IF(Dashboard!$E$7=2020,Vehicle!H292,Vehicle!H272), IF(Dashboard!$E$3=Lists!$X$8,H312, IF(Dashboard!$E$3=Lists!$X$9,H52,""))))</f>
        <v>104445.54891417309</v>
      </c>
      <c r="I32" s="10">
        <f ca="1">IF(Dashboard!$E$3=Lists!$X$6,$G$14*OFFSET(I72,100*(MATCH(Dashboard!$E$11,Lists!$AB$6:$AB$7,0)-1) + 20*(MATCH(Dashboard!$E$7,Lists!$AD$6:$AD$10,0)-1),0), IF(Dashboard!$E$3=Lists!$X$7,IF(Dashboard!$E$7=2020,Vehicle!I292,Vehicle!I272), IF(Dashboard!$E$3=Lists!$X$8,I312, IF(Dashboard!$E$3=Lists!$X$9,I52,""))))</f>
        <v>173186.27715044556</v>
      </c>
      <c r="J32" s="10">
        <f ca="1">IF(Dashboard!$E$3=Lists!$X$6,$G$14*OFFSET(J72,100*(MATCH(Dashboard!$E$11,Lists!$AB$6:$AB$7,0)-1) + 20*(MATCH(Dashboard!$E$7,Lists!$AD$6:$AD$10,0)-1),0), IF(Dashboard!$E$3=Lists!$X$7,IF(Dashboard!$E$7=2020,Vehicle!J292,Vehicle!J272), IF(Dashboard!$E$3=Lists!$X$8,J312, IF(Dashboard!$E$3=Lists!$X$9,J52,""))))</f>
        <v>187075.27395936692</v>
      </c>
      <c r="K32" s="10">
        <f ca="1">IF(Dashboard!$E$3=Lists!$X$6,$G$14*OFFSET(K72,100*(MATCH(Dashboard!$E$11,Lists!$AB$6:$AB$7,0)-1) + 20*(MATCH(Dashboard!$E$7,Lists!$AD$6:$AD$10,0)-1),0), IF(Dashboard!$E$3=Lists!$X$7,IF(Dashboard!$E$7=2020,Vehicle!K292,Vehicle!K272), IF(Dashboard!$E$3=Lists!$X$8,K312, IF(Dashboard!$E$3=Lists!$X$9,K52,""))))</f>
        <v>238363.02505661681</v>
      </c>
      <c r="M32" t="s">
        <v>125</v>
      </c>
      <c r="N32" s="10">
        <f ca="1">IF(Dashboard!$E$3=Lists!$X$6,OFFSET(N72,100*(MATCH(Dashboard!$E$11,Lists!$AB$6:$AB$7,0)-1) + 20*(MATCH(Dashboard!$E$7,Lists!$AD$6:$AD$10,0)-1),0), IF(Dashboard!$E$3=Lists!$X$7,IF(Dashboard!$E$7=2020,Vehicle!N292,Vehicle!N272), IF(Dashboard!$E$3=Lists!$X$8,N312, IF(Dashboard!$E$3=Lists!$X$9,N52,""))))</f>
        <v>0</v>
      </c>
      <c r="O32" s="10">
        <f ca="1">IF(Dashboard!$E$3=Lists!$X$6,OFFSET(O72,100*(MATCH(Dashboard!$E$11,Lists!$AB$6:$AB$7,0)-1) + 20*(MATCH(Dashboard!$E$7,Lists!$AD$6:$AD$10,0)-1),0), IF(Dashboard!$E$3=Lists!$X$7,IF(Dashboard!$E$7=2020,Vehicle!O292,Vehicle!O272), IF(Dashboard!$E$3=Lists!$X$8,O312, IF(Dashboard!$E$3=Lists!$X$9,O52,""))))</f>
        <v>12.847528613865805</v>
      </c>
      <c r="P32" s="10">
        <f ca="1">IF(Dashboard!$E$3=Lists!$X$6,OFFSET(P72,100*(MATCH(Dashboard!$E$11,Lists!$AB$6:$AB$7,0)-1) + 20*(MATCH(Dashboard!$E$7,Lists!$AD$6:$AD$10,0)-1),0), IF(Dashboard!$E$3=Lists!$X$7,IF(Dashboard!$E$7=2020,Vehicle!P292,Vehicle!P272), IF(Dashboard!$E$3=Lists!$X$8,P312, IF(Dashboard!$E$3=Lists!$X$9,P52,""))))</f>
        <v>15.589904653781785</v>
      </c>
      <c r="Q32" s="10">
        <f ca="1">IF(Dashboard!$E$3=Lists!$X$6,OFFSET(Q72,100*(MATCH(Dashboard!$E$11,Lists!$AB$6:$AB$7,0)-1) + 20*(MATCH(Dashboard!$E$7,Lists!$AD$6:$AD$10,0)-1),0), IF(Dashboard!$E$3=Lists!$X$7,IF(Dashboard!$E$7=2020,Vehicle!Q292,Vehicle!Q272), IF(Dashboard!$E$3=Lists!$X$8,Q312, IF(Dashboard!$E$3=Lists!$X$9,Q52,""))))</f>
        <v>23.164866868879443</v>
      </c>
      <c r="R32" s="10">
        <f ca="1">IF(Dashboard!$E$3=Lists!$X$6,OFFSET(R72,100*(MATCH(Dashboard!$E$11,Lists!$AB$6:$AB$7,0)-1) + 20*(MATCH(Dashboard!$E$7,Lists!$AD$6:$AD$10,0)-1),0), IF(Dashboard!$E$3=Lists!$X$7,IF(Dashboard!$E$7=2020,Vehicle!R292,Vehicle!R272), IF(Dashboard!$E$3=Lists!$X$8,R312, IF(Dashboard!$E$3=Lists!$X$9,R52,""))))</f>
        <v>22.731339494638792</v>
      </c>
      <c r="S32" s="10">
        <f ca="1">IF(Dashboard!$E$3=Lists!$X$6,OFFSET(S72,100*(MATCH(Dashboard!$E$11,Lists!$AB$6:$AB$7,0)-1) + 20*(MATCH(Dashboard!$E$7,Lists!$AD$6:$AD$10,0)-1),0), IF(Dashboard!$E$3=Lists!$X$7,IF(Dashboard!$E$7=2020,Vehicle!S292,Vehicle!S272), IF(Dashboard!$E$3=Lists!$X$8,S312, IF(Dashboard!$E$3=Lists!$X$9,S52,""))))</f>
        <v>43.183195037458717</v>
      </c>
      <c r="U32" t="s">
        <v>125</v>
      </c>
      <c r="V32" s="10">
        <f ca="1">IF(Dashboard!$E$3=Lists!$X$6,OFFSET(V72,100*(MATCH(Dashboard!$E$11,Lists!$AB$6:$AB$7,0)-1) + 20*(MATCH(Dashboard!$E$7,Lists!$AD$6:$AD$10,0)-1),0), IF(Dashboard!$E$3=Lists!$X$7,IF(Dashboard!$E$7=2020,Vehicle!V292,Vehicle!V272), IF(Dashboard!$E$3=Lists!$X$8,V312, IF(Dashboard!$E$3=Lists!$X$9,V52,""))))</f>
        <v>0</v>
      </c>
      <c r="W32" s="10">
        <f ca="1">IF(Dashboard!$E$3=Lists!$X$6,OFFSET(W72,100*(MATCH(Dashboard!$E$11,Lists!$AB$6:$AB$7,0)-1) + 20*(MATCH(Dashboard!$E$7,Lists!$AD$6:$AD$10,0)-1),0), IF(Dashboard!$E$3=Lists!$X$7,IF(Dashboard!$E$7=2020,Vehicle!W292,Vehicle!W272), IF(Dashboard!$E$3=Lists!$X$8,W312, IF(Dashboard!$E$3=Lists!$X$9,W52,""))))</f>
        <v>15077.56804644331</v>
      </c>
      <c r="X32" s="10">
        <f ca="1">IF(Dashboard!$E$3=Lists!$X$6,OFFSET(X72,100*(MATCH(Dashboard!$E$11,Lists!$AB$6:$AB$7,0)-1) + 20*(MATCH(Dashboard!$E$7,Lists!$AD$6:$AD$10,0)-1),0), IF(Dashboard!$E$3=Lists!$X$7,IF(Dashboard!$E$7=2020,Vehicle!X292,Vehicle!X272), IF(Dashboard!$E$3=Lists!$X$8,X312, IF(Dashboard!$E$3=Lists!$X$9,X52,""))))</f>
        <v>14189.508370731932</v>
      </c>
      <c r="Y32" s="10">
        <f ca="1">IF(Dashboard!$E$3=Lists!$X$6,OFFSET(Y72,100*(MATCH(Dashboard!$E$11,Lists!$AB$6:$AB$7,0)-1) + 20*(MATCH(Dashboard!$E$7,Lists!$AD$6:$AD$10,0)-1),0), IF(Dashboard!$E$3=Lists!$X$7,IF(Dashboard!$E$7=2020,Vehicle!Y292,Vehicle!Y272), IF(Dashboard!$E$3=Lists!$X$8,Y312, IF(Dashboard!$E$3=Lists!$X$9,Y52,""))))</f>
        <v>15712.096069045057</v>
      </c>
      <c r="Z32" s="10">
        <f ca="1">IF(Dashboard!$E$3=Lists!$X$6,OFFSET(Z72,100*(MATCH(Dashboard!$E$11,Lists!$AB$6:$AB$7,0)-1) + 20*(MATCH(Dashboard!$E$7,Lists!$AD$6:$AD$10,0)-1),0), IF(Dashboard!$E$3=Lists!$X$7,IF(Dashboard!$E$7=2020,Vehicle!Z292,Vehicle!Z272), IF(Dashboard!$E$3=Lists!$X$8,Z312, IF(Dashboard!$E$3=Lists!$X$9,Z52,""))))</f>
        <v>13769.141323753194</v>
      </c>
      <c r="AA32" s="10">
        <f ca="1">IF(Dashboard!$E$3=Lists!$X$6,OFFSET(AA72,100*(MATCH(Dashboard!$E$11,Lists!$AB$6:$AB$7,0)-1) + 20*(MATCH(Dashboard!$E$7,Lists!$AD$6:$AD$10,0)-1),0), IF(Dashboard!$E$3=Lists!$X$7,IF(Dashboard!$E$7=2020,Vehicle!AA292,Vehicle!AA272), IF(Dashboard!$E$3=Lists!$X$8,AA312, IF(Dashboard!$E$3=Lists!$X$9,AA52,""))))</f>
        <v>14593.717806434295</v>
      </c>
      <c r="AC32" s="10">
        <f ca="1">IF(Dashboard!$E$3=Lists!$X$6,OFFSET(AC72,100*(MATCH(Dashboard!$E$11,Lists!$AB$6:$AB$7,0)-1) + 20*(MATCH(Dashboard!$E$7,Lists!$AD$6:$AD$10,0)-1),0), IF(Dashboard!$E$3=Lists!$X$7,Vehicle!AC272, IF(Dashboard!$E$3=Lists!$X$8,AC292, IF(Dashboard!$E$3=Lists!$X$9,AC52,""))))</f>
        <v>6073.3680855539988</v>
      </c>
      <c r="AD32" s="36">
        <f ca="1">IF(Dashboard!$E$3=Lists!$X$6,OFFSET(AD72,100*(MATCH(Dashboard!$E$11,Lists!$AB$6:$AB$7,0)-1) + 20*(MATCH(Dashboard!$E$7,Lists!$AD$6:$AD$10,0)-1),0), IF(Dashboard!$E$3=Lists!$X$7,Vehicle!AD272, IF(Dashboard!$E$3=Lists!$X$8,AD292, IF(Dashboard!$E$3=Lists!$X$9,AD52,""))))</f>
        <v>0.5950265823556653</v>
      </c>
    </row>
    <row r="33" spans="5:30" x14ac:dyDescent="0.45">
      <c r="E33" t="s">
        <v>118</v>
      </c>
      <c r="F33" s="10">
        <f ca="1">IF(Dashboard!$E$3=Lists!$X$6,$G$14*OFFSET(F73,100*(MATCH(Dashboard!$E$11,Lists!$AB$6:$AB$7,0)-1) + 20*(MATCH(Dashboard!$E$7,Lists!$AD$6:$AD$10,0)-1),0), IF(Dashboard!$E$3=Lists!$X$7,IF(Dashboard!$E$7=2020,Vehicle!F293,Vehicle!F273), IF(Dashboard!$E$3=Lists!$X$8,F313, IF(Dashboard!$E$3=Lists!$X$9,F53,""))))</f>
        <v>0</v>
      </c>
      <c r="G33" s="10">
        <f ca="1">IF(Dashboard!$E$3=Lists!$X$6,$G$14*OFFSET(G73,100*(MATCH(Dashboard!$E$11,Lists!$AB$6:$AB$7,0)-1) + 20*(MATCH(Dashboard!$E$7,Lists!$AD$6:$AD$10,0)-1),0), IF(Dashboard!$E$3=Lists!$X$7,IF(Dashboard!$E$7=2020,Vehicle!G293,Vehicle!G273), IF(Dashboard!$E$3=Lists!$X$8,G313, IF(Dashboard!$E$3=Lists!$X$9,G53,""))))</f>
        <v>180455.13938202171</v>
      </c>
      <c r="H33" s="10">
        <f ca="1">IF(Dashboard!$E$3=Lists!$X$6,$G$14*OFFSET(H73,100*(MATCH(Dashboard!$E$11,Lists!$AB$6:$AB$7,0)-1) + 20*(MATCH(Dashboard!$E$7,Lists!$AD$6:$AD$10,0)-1),0), IF(Dashboard!$E$3=Lists!$X$7,IF(Dashboard!$E$7=2020,Vehicle!H293,Vehicle!H273), IF(Dashboard!$E$3=Lists!$X$8,H313, IF(Dashboard!$E$3=Lists!$X$9,H53,""))))</f>
        <v>202197.19833140977</v>
      </c>
      <c r="I33" s="10">
        <f ca="1">IF(Dashboard!$E$3=Lists!$X$6,$G$14*OFFSET(I73,100*(MATCH(Dashboard!$E$11,Lists!$AB$6:$AB$7,0)-1) + 20*(MATCH(Dashboard!$E$7,Lists!$AD$6:$AD$10,0)-1),0), IF(Dashboard!$E$3=Lists!$X$7,IF(Dashboard!$E$7=2020,Vehicle!I293,Vehicle!I273), IF(Dashboard!$E$3=Lists!$X$8,I313, IF(Dashboard!$E$3=Lists!$X$9,I53,""))))</f>
        <v>350494.27526197711</v>
      </c>
      <c r="J33" s="10">
        <f ca="1">IF(Dashboard!$E$3=Lists!$X$6,$G$14*OFFSET(J73,100*(MATCH(Dashboard!$E$11,Lists!$AB$6:$AB$7,0)-1) + 20*(MATCH(Dashboard!$E$7,Lists!$AD$6:$AD$10,0)-1),0), IF(Dashboard!$E$3=Lists!$X$7,IF(Dashboard!$E$7=2020,Vehicle!J293,Vehicle!J273), IF(Dashboard!$E$3=Lists!$X$8,J313, IF(Dashboard!$E$3=Lists!$X$9,J53,""))))</f>
        <v>314313.00467413245</v>
      </c>
      <c r="K33" s="10">
        <f ca="1">IF(Dashboard!$E$3=Lists!$X$6,$G$14*OFFSET(K73,100*(MATCH(Dashboard!$E$11,Lists!$AB$6:$AB$7,0)-1) + 20*(MATCH(Dashboard!$E$7,Lists!$AD$6:$AD$10,0)-1),0), IF(Dashboard!$E$3=Lists!$X$7,IF(Dashboard!$E$7=2020,Vehicle!K293,Vehicle!K273), IF(Dashboard!$E$3=Lists!$X$8,K313, IF(Dashboard!$E$3=Lists!$X$9,K53,""))))</f>
        <v>487190.55933337501</v>
      </c>
      <c r="M33" t="s">
        <v>118</v>
      </c>
      <c r="N33" s="10">
        <f ca="1">IF(Dashboard!$E$3=Lists!$X$6,OFFSET(N73,100*(MATCH(Dashboard!$E$11,Lists!$AB$6:$AB$7,0)-1) + 20*(MATCH(Dashboard!$E$7,Lists!$AD$6:$AD$10,0)-1),0), IF(Dashboard!$E$3=Lists!$X$7,IF(Dashboard!$E$7=2020,Vehicle!N293,Vehicle!N273), IF(Dashboard!$E$3=Lists!$X$8,N313, IF(Dashboard!$E$3=Lists!$X$9,N53,""))))</f>
        <v>0</v>
      </c>
      <c r="O33" s="10">
        <f ca="1">IF(Dashboard!$E$3=Lists!$X$6,OFFSET(O73,100*(MATCH(Dashboard!$E$11,Lists!$AB$6:$AB$7,0)-1) + 20*(MATCH(Dashboard!$E$7,Lists!$AD$6:$AD$10,0)-1),0), IF(Dashboard!$E$3=Lists!$X$7,IF(Dashboard!$E$7=2020,Vehicle!O293,Vehicle!O273), IF(Dashboard!$E$3=Lists!$X$8,O313, IF(Dashboard!$E$3=Lists!$X$9,O53,""))))</f>
        <v>7.0786461062877297</v>
      </c>
      <c r="P33" s="10">
        <f ca="1">IF(Dashboard!$E$3=Lists!$X$6,OFFSET(P73,100*(MATCH(Dashboard!$E$11,Lists!$AB$6:$AB$7,0)-1) + 20*(MATCH(Dashboard!$E$7,Lists!$AD$6:$AD$10,0)-1),0), IF(Dashboard!$E$3=Lists!$X$7,IF(Dashboard!$E$7=2020,Vehicle!P293,Vehicle!P273), IF(Dashboard!$E$3=Lists!$X$8,P313, IF(Dashboard!$E$3=Lists!$X$9,P53,""))))</f>
        <v>7.8581252931155463</v>
      </c>
      <c r="Q33" s="10">
        <f ca="1">IF(Dashboard!$E$3=Lists!$X$6,OFFSET(Q73,100*(MATCH(Dashboard!$E$11,Lists!$AB$6:$AB$7,0)-1) + 20*(MATCH(Dashboard!$E$7,Lists!$AD$6:$AD$10,0)-1),0), IF(Dashboard!$E$3=Lists!$X$7,IF(Dashboard!$E$7=2020,Vehicle!Q293,Vehicle!Q273), IF(Dashboard!$E$3=Lists!$X$8,Q313, IF(Dashboard!$E$3=Lists!$X$9,Q53,""))))</f>
        <v>3.7899963375466657</v>
      </c>
      <c r="R33" s="10">
        <f ca="1">IF(Dashboard!$E$3=Lists!$X$6,OFFSET(R73,100*(MATCH(Dashboard!$E$11,Lists!$AB$6:$AB$7,0)-1) + 20*(MATCH(Dashboard!$E$7,Lists!$AD$6:$AD$10,0)-1),0), IF(Dashboard!$E$3=Lists!$X$7,IF(Dashboard!$E$7=2020,Vehicle!R293,Vehicle!R273), IF(Dashboard!$E$3=Lists!$X$8,R313, IF(Dashboard!$E$3=Lists!$X$9,R53,""))))</f>
        <v>9.8796185368350748</v>
      </c>
      <c r="S33" s="10">
        <f ca="1">IF(Dashboard!$E$3=Lists!$X$6,OFFSET(S73,100*(MATCH(Dashboard!$E$11,Lists!$AB$6:$AB$7,0)-1) + 20*(MATCH(Dashboard!$E$7,Lists!$AD$6:$AD$10,0)-1),0), IF(Dashboard!$E$3=Lists!$X$7,IF(Dashboard!$E$7=2020,Vehicle!S293,Vehicle!S273), IF(Dashboard!$E$3=Lists!$X$8,S313, IF(Dashboard!$E$3=Lists!$X$9,S53,""))))</f>
        <v>18.785365271903114</v>
      </c>
      <c r="U33" t="s">
        <v>118</v>
      </c>
      <c r="V33" s="10">
        <f ca="1">IF(Dashboard!$E$3=Lists!$X$6,OFFSET(V73,100*(MATCH(Dashboard!$E$11,Lists!$AB$6:$AB$7,0)-1) + 20*(MATCH(Dashboard!$E$7,Lists!$AD$6:$AD$10,0)-1),0), IF(Dashboard!$E$3=Lists!$X$7,IF(Dashboard!$E$7=2020,Vehicle!V293,Vehicle!V273), IF(Dashboard!$E$3=Lists!$X$8,V313, IF(Dashboard!$E$3=Lists!$X$9,V53,""))))</f>
        <v>0</v>
      </c>
      <c r="W33" s="10">
        <f ca="1">IF(Dashboard!$E$3=Lists!$X$6,OFFSET(W73,100*(MATCH(Dashboard!$E$11,Lists!$AB$6:$AB$7,0)-1) + 20*(MATCH(Dashboard!$E$7,Lists!$AD$6:$AD$10,0)-1),0), IF(Dashboard!$E$3=Lists!$X$7,IF(Dashboard!$E$7=2020,Vehicle!W293,Vehicle!W273), IF(Dashboard!$E$3=Lists!$X$8,W313, IF(Dashboard!$E$3=Lists!$X$9,W53,""))))</f>
        <v>35576.042700136415</v>
      </c>
      <c r="X33" s="10">
        <f ca="1">IF(Dashboard!$E$3=Lists!$X$6,OFFSET(X73,100*(MATCH(Dashboard!$E$11,Lists!$AB$6:$AB$7,0)-1) + 20*(MATCH(Dashboard!$E$7,Lists!$AD$6:$AD$10,0)-1),0), IF(Dashboard!$E$3=Lists!$X$7,IF(Dashboard!$E$7=2020,Vehicle!X293,Vehicle!X273), IF(Dashboard!$E$3=Lists!$X$8,X313, IF(Dashboard!$E$3=Lists!$X$9,X53,""))))</f>
        <v>36943.764100582368</v>
      </c>
      <c r="Y33" s="10">
        <f ca="1">IF(Dashboard!$E$3=Lists!$X$6,OFFSET(Y73,100*(MATCH(Dashboard!$E$11,Lists!$AB$6:$AB$7,0)-1) + 20*(MATCH(Dashboard!$E$7,Lists!$AD$6:$AD$10,0)-1),0), IF(Dashboard!$E$3=Lists!$X$7,IF(Dashboard!$E$7=2020,Vehicle!Y293,Vehicle!Y273), IF(Dashboard!$E$3=Lists!$X$8,Y313, IF(Dashboard!$E$3=Lists!$X$9,Y53,""))))</f>
        <v>39012.158458663529</v>
      </c>
      <c r="Z33" s="10">
        <f ca="1">IF(Dashboard!$E$3=Lists!$X$6,OFFSET(Z73,100*(MATCH(Dashboard!$E$11,Lists!$AB$6:$AB$7,0)-1) + 20*(MATCH(Dashboard!$E$7,Lists!$AD$6:$AD$10,0)-1),0), IF(Dashboard!$E$3=Lists!$X$7,IF(Dashboard!$E$7=2020,Vehicle!Z293,Vehicle!Z273), IF(Dashboard!$E$3=Lists!$X$8,Z313, IF(Dashboard!$E$3=Lists!$X$9,Z53,""))))</f>
        <v>36305.83559371825</v>
      </c>
      <c r="AA33" s="10">
        <f ca="1">IF(Dashboard!$E$3=Lists!$X$6,OFFSET(AA73,100*(MATCH(Dashboard!$E$11,Lists!$AB$6:$AB$7,0)-1) + 20*(MATCH(Dashboard!$E$7,Lists!$AD$6:$AD$10,0)-1),0), IF(Dashboard!$E$3=Lists!$X$7,IF(Dashboard!$E$7=2020,Vehicle!AA293,Vehicle!AA273), IF(Dashboard!$E$3=Lists!$X$8,AA313, IF(Dashboard!$E$3=Lists!$X$9,AA53,""))))</f>
        <v>38479.1447463566</v>
      </c>
      <c r="AC33" s="10">
        <f ca="1">IF(Dashboard!$E$3=Lists!$X$6,OFFSET(AC73,100*(MATCH(Dashboard!$E$11,Lists!$AB$6:$AB$7,0)-1) + 20*(MATCH(Dashboard!$E$7,Lists!$AD$6:$AD$10,0)-1),0), IF(Dashboard!$E$3=Lists!$X$7,Vehicle!AC273, IF(Dashboard!$E$3=Lists!$X$8,AC293, IF(Dashboard!$E$3=Lists!$X$9,AC53,""))))</f>
        <v>8818.48</v>
      </c>
      <c r="AD33" s="36">
        <f ca="1">IF(Dashboard!$E$3=Lists!$X$6,OFFSET(AD73,100*(MATCH(Dashboard!$E$11,Lists!$AB$6:$AB$7,0)-1) + 20*(MATCH(Dashboard!$E$7,Lists!$AD$6:$AD$10,0)-1),0), IF(Dashboard!$E$3=Lists!$X$7,Vehicle!AD273, IF(Dashboard!$E$3=Lists!$X$8,AD293, IF(Dashboard!$E$3=Lists!$X$9,AD53,""))))</f>
        <v>0.49629728974977283</v>
      </c>
    </row>
    <row r="34" spans="5:30" x14ac:dyDescent="0.45">
      <c r="E34" t="s">
        <v>138</v>
      </c>
      <c r="F34" s="10">
        <f ca="1">IF(Dashboard!$E$3=Lists!$X$6,$G$14*OFFSET(F74,100*(MATCH(Dashboard!$E$11,Lists!$AB$6:$AB$7,0)-1) + 20*(MATCH(Dashboard!$E$7,Lists!$AD$6:$AD$10,0)-1),0), IF(Dashboard!$E$3=Lists!$X$7,IF(Dashboard!$E$7=2020,Vehicle!F294,Vehicle!F274), IF(Dashboard!$E$3=Lists!$X$8,F314, IF(Dashboard!$E$3=Lists!$X$9,F54,""))))</f>
        <v>0</v>
      </c>
      <c r="G34" s="10">
        <f ca="1">IF(Dashboard!$E$3=Lists!$X$6,$G$14*OFFSET(G74,100*(MATCH(Dashboard!$E$11,Lists!$AB$6:$AB$7,0)-1) + 20*(MATCH(Dashboard!$E$7,Lists!$AD$6:$AD$10,0)-1),0), IF(Dashboard!$E$3=Lists!$X$7,IF(Dashboard!$E$7=2020,Vehicle!G294,Vehicle!G274), IF(Dashboard!$E$3=Lists!$X$8,G314, IF(Dashboard!$E$3=Lists!$X$9,G54,""))))</f>
        <v>154423.03109676516</v>
      </c>
      <c r="H34" s="10">
        <f ca="1">IF(Dashboard!$E$3=Lists!$X$6,$G$14*OFFSET(H74,100*(MATCH(Dashboard!$E$11,Lists!$AB$6:$AB$7,0)-1) + 20*(MATCH(Dashboard!$E$7,Lists!$AD$6:$AD$10,0)-1),0), IF(Dashboard!$E$3=Lists!$X$7,IF(Dashboard!$E$7=2020,Vehicle!H294,Vehicle!H274), IF(Dashboard!$E$3=Lists!$X$8,H314, IF(Dashboard!$E$3=Lists!$X$9,H54,""))))</f>
        <v>168499.91808222843</v>
      </c>
      <c r="I34" s="10">
        <f ca="1">IF(Dashboard!$E$3=Lists!$X$6,$G$14*OFFSET(I74,100*(MATCH(Dashboard!$E$11,Lists!$AB$6:$AB$7,0)-1) + 20*(MATCH(Dashboard!$E$7,Lists!$AD$6:$AD$10,0)-1),0), IF(Dashboard!$E$3=Lists!$X$7,IF(Dashboard!$E$7=2020,Vehicle!I294,Vehicle!I274), IF(Dashboard!$E$3=Lists!$X$8,I314, IF(Dashboard!$E$3=Lists!$X$9,I54,""))))</f>
        <v>0</v>
      </c>
      <c r="J34" s="10">
        <f ca="1">IF(Dashboard!$E$3=Lists!$X$6,$G$14*OFFSET(J74,100*(MATCH(Dashboard!$E$11,Lists!$AB$6:$AB$7,0)-1) + 20*(MATCH(Dashboard!$E$7,Lists!$AD$6:$AD$10,0)-1),0), IF(Dashboard!$E$3=Lists!$X$7,IF(Dashboard!$E$7=2020,Vehicle!J294,Vehicle!J274), IF(Dashboard!$E$3=Lists!$X$8,J314, IF(Dashboard!$E$3=Lists!$X$9,J54,""))))</f>
        <v>0</v>
      </c>
      <c r="K34" s="10">
        <f ca="1">IF(Dashboard!$E$3=Lists!$X$6,$G$14*OFFSET(K74,100*(MATCH(Dashboard!$E$11,Lists!$AB$6:$AB$7,0)-1) + 20*(MATCH(Dashboard!$E$7,Lists!$AD$6:$AD$10,0)-1),0), IF(Dashboard!$E$3=Lists!$X$7,IF(Dashboard!$E$7=2020,Vehicle!K294,Vehicle!K274), IF(Dashboard!$E$3=Lists!$X$8,K314, IF(Dashboard!$E$3=Lists!$X$9,K54,""))))</f>
        <v>494023.49934826512</v>
      </c>
      <c r="M34" t="s">
        <v>138</v>
      </c>
      <c r="N34" s="10">
        <f ca="1">IF(Dashboard!$E$3=Lists!$X$6,OFFSET(N74,100*(MATCH(Dashboard!$E$11,Lists!$AB$6:$AB$7,0)-1) + 20*(MATCH(Dashboard!$E$7,Lists!$AD$6:$AD$10,0)-1),0), IF(Dashboard!$E$3=Lists!$X$7,IF(Dashboard!$E$7=2020,Vehicle!N294,Vehicle!N274), IF(Dashboard!$E$3=Lists!$X$8,N314, IF(Dashboard!$E$3=Lists!$X$9,N54,""))))</f>
        <v>0</v>
      </c>
      <c r="O34" s="10">
        <f ca="1">IF(Dashboard!$E$3=Lists!$X$6,OFFSET(O74,100*(MATCH(Dashboard!$E$11,Lists!$AB$6:$AB$7,0)-1) + 20*(MATCH(Dashboard!$E$7,Lists!$AD$6:$AD$10,0)-1),0), IF(Dashboard!$E$3=Lists!$X$7,IF(Dashboard!$E$7=2020,Vehicle!O294,Vehicle!O274), IF(Dashboard!$E$3=Lists!$X$8,O314, IF(Dashboard!$E$3=Lists!$X$9,O54,""))))</f>
        <v>5.2044431806212703</v>
      </c>
      <c r="P34" s="10">
        <f ca="1">IF(Dashboard!$E$3=Lists!$X$6,OFFSET(P74,100*(MATCH(Dashboard!$E$11,Lists!$AB$6:$AB$7,0)-1) + 20*(MATCH(Dashboard!$E$7,Lists!$AD$6:$AD$10,0)-1),0), IF(Dashboard!$E$3=Lists!$X$7,IF(Dashboard!$E$7=2020,Vehicle!P294,Vehicle!P274), IF(Dashboard!$E$3=Lists!$X$8,P314, IF(Dashboard!$E$3=Lists!$X$9,P54,""))))</f>
        <v>5.9955021619315456</v>
      </c>
      <c r="Q34" s="10">
        <f ca="1">IF(Dashboard!$E$3=Lists!$X$6,OFFSET(Q74,100*(MATCH(Dashboard!$E$11,Lists!$AB$6:$AB$7,0)-1) + 20*(MATCH(Dashboard!$E$7,Lists!$AD$6:$AD$10,0)-1),0), IF(Dashboard!$E$3=Lists!$X$7,IF(Dashboard!$E$7=2020,Vehicle!Q294,Vehicle!Q274), IF(Dashboard!$E$3=Lists!$X$8,Q314, IF(Dashboard!$E$3=Lists!$X$9,Q54,""))))</f>
        <v>0</v>
      </c>
      <c r="R34" s="10">
        <f ca="1">IF(Dashboard!$E$3=Lists!$X$6,OFFSET(R74,100*(MATCH(Dashboard!$E$11,Lists!$AB$6:$AB$7,0)-1) + 20*(MATCH(Dashboard!$E$7,Lists!$AD$6:$AD$10,0)-1),0), IF(Dashboard!$E$3=Lists!$X$7,IF(Dashboard!$E$7=2020,Vehicle!R294,Vehicle!R274), IF(Dashboard!$E$3=Lists!$X$8,R314, IF(Dashboard!$E$3=Lists!$X$9,R54,""))))</f>
        <v>0</v>
      </c>
      <c r="S34" s="10">
        <f ca="1">IF(Dashboard!$E$3=Lists!$X$6,OFFSET(S74,100*(MATCH(Dashboard!$E$11,Lists!$AB$6:$AB$7,0)-1) + 20*(MATCH(Dashboard!$E$7,Lists!$AD$6:$AD$10,0)-1),0), IF(Dashboard!$E$3=Lists!$X$7,IF(Dashboard!$E$7=2020,Vehicle!S294,Vehicle!S274), IF(Dashboard!$E$3=Lists!$X$8,S314, IF(Dashboard!$E$3=Lists!$X$9,S54,""))))</f>
        <v>18.317970163622466</v>
      </c>
      <c r="U34" t="s">
        <v>138</v>
      </c>
      <c r="V34" s="10">
        <f ca="1">IF(Dashboard!$E$3=Lists!$X$6,OFFSET(V74,100*(MATCH(Dashboard!$E$11,Lists!$AB$6:$AB$7,0)-1) + 20*(MATCH(Dashboard!$E$7,Lists!$AD$6:$AD$10,0)-1),0), IF(Dashboard!$E$3=Lists!$X$7,IF(Dashboard!$E$7=2020,Vehicle!V294,Vehicle!V274), IF(Dashboard!$E$3=Lists!$X$8,V314, IF(Dashboard!$E$3=Lists!$X$9,V54,""))))</f>
        <v>0</v>
      </c>
      <c r="W34" s="10">
        <f ca="1">IF(Dashboard!$E$3=Lists!$X$6,OFFSET(W74,100*(MATCH(Dashboard!$E$11,Lists!$AB$6:$AB$7,0)-1) + 20*(MATCH(Dashboard!$E$7,Lists!$AD$6:$AD$10,0)-1),0), IF(Dashboard!$E$3=Lists!$X$7,IF(Dashboard!$E$7=2020,Vehicle!W294,Vehicle!W274), IF(Dashboard!$E$3=Lists!$X$8,W314, IF(Dashboard!$E$3=Lists!$X$9,W54,""))))</f>
        <v>54061.680783132106</v>
      </c>
      <c r="X34" s="10">
        <f ca="1">IF(Dashboard!$E$3=Lists!$X$6,OFFSET(X74,100*(MATCH(Dashboard!$E$11,Lists!$AB$6:$AB$7,0)-1) + 20*(MATCH(Dashboard!$E$7,Lists!$AD$6:$AD$10,0)-1),0), IF(Dashboard!$E$3=Lists!$X$7,IF(Dashboard!$E$7=2020,Vehicle!X294,Vehicle!X274), IF(Dashboard!$E$3=Lists!$X$8,X314, IF(Dashboard!$E$3=Lists!$X$9,X54,""))))</f>
        <v>54845.289430488148</v>
      </c>
      <c r="Y34" s="10">
        <f ca="1">IF(Dashboard!$E$3=Lists!$X$6,OFFSET(Y74,100*(MATCH(Dashboard!$E$11,Lists!$AB$6:$AB$7,0)-1) + 20*(MATCH(Dashboard!$E$7,Lists!$AD$6:$AD$10,0)-1),0), IF(Dashboard!$E$3=Lists!$X$7,IF(Dashboard!$E$7=2020,Vehicle!Y294,Vehicle!Y274), IF(Dashboard!$E$3=Lists!$X$8,Y314, IF(Dashboard!$E$3=Lists!$X$9,Y54,""))))</f>
        <v>0</v>
      </c>
      <c r="Z34" s="10">
        <f ca="1">IF(Dashboard!$E$3=Lists!$X$6,OFFSET(Z74,100*(MATCH(Dashboard!$E$11,Lists!$AB$6:$AB$7,0)-1) + 20*(MATCH(Dashboard!$E$7,Lists!$AD$6:$AD$10,0)-1),0), IF(Dashboard!$E$3=Lists!$X$7,IF(Dashboard!$E$7=2020,Vehicle!Z294,Vehicle!Z274), IF(Dashboard!$E$3=Lists!$X$8,Z314, IF(Dashboard!$E$3=Lists!$X$9,Z54,""))))</f>
        <v>0</v>
      </c>
      <c r="AA34" s="10">
        <f ca="1">IF(Dashboard!$E$3=Lists!$X$6,OFFSET(AA74,100*(MATCH(Dashboard!$E$11,Lists!$AB$6:$AB$7,0)-1) + 20*(MATCH(Dashboard!$E$7,Lists!$AD$6:$AD$10,0)-1),0), IF(Dashboard!$E$3=Lists!$X$7,IF(Dashboard!$E$7=2020,Vehicle!AA294,Vehicle!AA274), IF(Dashboard!$E$3=Lists!$X$8,AA314, IF(Dashboard!$E$3=Lists!$X$9,AA54,""))))</f>
        <v>57476.599930634955</v>
      </c>
      <c r="AC34" s="10">
        <f ca="1">IF(Dashboard!$E$3=Lists!$X$6,OFFSET(AC74,100*(MATCH(Dashboard!$E$11,Lists!$AB$6:$AB$7,0)-1) + 20*(MATCH(Dashboard!$E$7,Lists!$AD$6:$AD$10,0)-1),0), IF(Dashboard!$E$3=Lists!$X$7,Vehicle!AC274, IF(Dashboard!$E$3=Lists!$X$8,AC294, IF(Dashboard!$E$3=Lists!$X$9,AC54,""))))</f>
        <v>27337.287999999997</v>
      </c>
      <c r="AD34" s="36">
        <f ca="1">IF(Dashboard!$E$3=Lists!$X$6,OFFSET(AD74,100*(MATCH(Dashboard!$E$11,Lists!$AB$6:$AB$7,0)-1) + 20*(MATCH(Dashboard!$E$7,Lists!$AD$6:$AD$10,0)-1),0), IF(Dashboard!$E$3=Lists!$X$7,Vehicle!AD274, IF(Dashboard!$E$3=Lists!$X$8,AD294, IF(Dashboard!$E$3=Lists!$X$9,AD54,""))))</f>
        <v>0</v>
      </c>
    </row>
    <row r="37" spans="5:30" x14ac:dyDescent="0.45">
      <c r="E37" t="s">
        <v>131</v>
      </c>
      <c r="F37" t="s">
        <v>42</v>
      </c>
      <c r="G37" t="s">
        <v>43</v>
      </c>
      <c r="H37" t="s">
        <v>427</v>
      </c>
      <c r="I37" t="s">
        <v>44</v>
      </c>
      <c r="J37" t="s">
        <v>45</v>
      </c>
      <c r="K37" t="s">
        <v>46</v>
      </c>
      <c r="M37" t="s">
        <v>131</v>
      </c>
      <c r="N37" t="s">
        <v>42</v>
      </c>
      <c r="O37" t="s">
        <v>43</v>
      </c>
      <c r="P37" t="s">
        <v>427</v>
      </c>
      <c r="Q37" t="s">
        <v>44</v>
      </c>
      <c r="R37" t="s">
        <v>45</v>
      </c>
      <c r="S37" t="s">
        <v>46</v>
      </c>
      <c r="U37" t="s">
        <v>131</v>
      </c>
      <c r="V37" t="s">
        <v>42</v>
      </c>
      <c r="W37" t="s">
        <v>43</v>
      </c>
      <c r="X37" t="s">
        <v>427</v>
      </c>
      <c r="Y37" t="s">
        <v>44</v>
      </c>
      <c r="Z37" t="s">
        <v>45</v>
      </c>
      <c r="AA37" t="s">
        <v>46</v>
      </c>
    </row>
    <row r="38" spans="5:30" x14ac:dyDescent="0.45">
      <c r="E38" t="s">
        <v>57</v>
      </c>
      <c r="M38" t="s">
        <v>57</v>
      </c>
      <c r="U38" t="s">
        <v>57</v>
      </c>
    </row>
    <row r="39" spans="5:30" x14ac:dyDescent="0.45">
      <c r="E39" t="s">
        <v>58</v>
      </c>
      <c r="M39" t="s">
        <v>58</v>
      </c>
      <c r="U39" t="s">
        <v>58</v>
      </c>
    </row>
    <row r="40" spans="5:30" x14ac:dyDescent="0.45">
      <c r="E40" t="s">
        <v>56</v>
      </c>
      <c r="M40" t="s">
        <v>56</v>
      </c>
      <c r="U40" t="s">
        <v>56</v>
      </c>
    </row>
    <row r="41" spans="5:30" x14ac:dyDescent="0.45">
      <c r="E41" t="s">
        <v>59</v>
      </c>
      <c r="M41" t="s">
        <v>59</v>
      </c>
      <c r="U41" t="s">
        <v>59</v>
      </c>
    </row>
    <row r="42" spans="5:30" x14ac:dyDescent="0.45">
      <c r="E42" t="s">
        <v>60</v>
      </c>
      <c r="M42" t="s">
        <v>60</v>
      </c>
      <c r="U42" t="s">
        <v>60</v>
      </c>
    </row>
    <row r="43" spans="5:30" x14ac:dyDescent="0.45">
      <c r="E43" t="s">
        <v>119</v>
      </c>
      <c r="M43" t="s">
        <v>119</v>
      </c>
      <c r="U43" t="s">
        <v>119</v>
      </c>
    </row>
    <row r="44" spans="5:30" x14ac:dyDescent="0.45">
      <c r="E44" t="s">
        <v>120</v>
      </c>
      <c r="M44" t="s">
        <v>120</v>
      </c>
      <c r="U44" t="s">
        <v>120</v>
      </c>
    </row>
    <row r="45" spans="5:30" x14ac:dyDescent="0.45">
      <c r="E45" t="s">
        <v>121</v>
      </c>
      <c r="M45" t="s">
        <v>121</v>
      </c>
      <c r="U45" t="s">
        <v>121</v>
      </c>
    </row>
    <row r="46" spans="5:30" x14ac:dyDescent="0.45">
      <c r="E46" t="s">
        <v>122</v>
      </c>
      <c r="M46" t="s">
        <v>122</v>
      </c>
      <c r="U46" t="s">
        <v>122</v>
      </c>
    </row>
    <row r="47" spans="5:30" x14ac:dyDescent="0.45">
      <c r="E47" t="s">
        <v>123</v>
      </c>
      <c r="M47" t="s">
        <v>123</v>
      </c>
      <c r="U47" t="s">
        <v>123</v>
      </c>
    </row>
    <row r="48" spans="5:30" x14ac:dyDescent="0.45">
      <c r="E48" t="s">
        <v>115</v>
      </c>
      <c r="M48" t="s">
        <v>115</v>
      </c>
      <c r="U48" t="s">
        <v>115</v>
      </c>
    </row>
    <row r="49" spans="5:47" x14ac:dyDescent="0.45">
      <c r="E49" t="s">
        <v>116</v>
      </c>
      <c r="M49" t="s">
        <v>116</v>
      </c>
      <c r="U49" t="s">
        <v>116</v>
      </c>
    </row>
    <row r="50" spans="5:47" x14ac:dyDescent="0.45">
      <c r="E50" t="s">
        <v>117</v>
      </c>
      <c r="M50" t="s">
        <v>117</v>
      </c>
      <c r="U50" t="s">
        <v>117</v>
      </c>
    </row>
    <row r="51" spans="5:47" x14ac:dyDescent="0.45">
      <c r="E51" t="s">
        <v>124</v>
      </c>
      <c r="M51" t="s">
        <v>124</v>
      </c>
      <c r="U51" t="s">
        <v>124</v>
      </c>
    </row>
    <row r="52" spans="5:47" x14ac:dyDescent="0.45">
      <c r="E52" t="s">
        <v>125</v>
      </c>
      <c r="M52" t="s">
        <v>125</v>
      </c>
      <c r="U52" t="s">
        <v>125</v>
      </c>
    </row>
    <row r="53" spans="5:47" x14ac:dyDescent="0.45">
      <c r="E53" t="s">
        <v>118</v>
      </c>
      <c r="M53" t="s">
        <v>118</v>
      </c>
      <c r="U53" t="s">
        <v>118</v>
      </c>
    </row>
    <row r="54" spans="5:47" x14ac:dyDescent="0.45">
      <c r="E54" t="s">
        <v>138</v>
      </c>
      <c r="M54" t="s">
        <v>138</v>
      </c>
      <c r="U54" t="s">
        <v>138</v>
      </c>
    </row>
    <row r="56" spans="5:47" x14ac:dyDescent="0.45">
      <c r="N56" t="s">
        <v>160</v>
      </c>
      <c r="O56" t="s">
        <v>160</v>
      </c>
      <c r="Q56" t="s">
        <v>162</v>
      </c>
      <c r="S56" t="s">
        <v>161</v>
      </c>
    </row>
    <row r="57" spans="5:47" x14ac:dyDescent="0.45">
      <c r="E57" t="s">
        <v>126</v>
      </c>
      <c r="F57" t="s">
        <v>42</v>
      </c>
      <c r="G57" t="s">
        <v>43</v>
      </c>
      <c r="H57" t="s">
        <v>427</v>
      </c>
      <c r="I57" t="s">
        <v>44</v>
      </c>
      <c r="J57" t="s">
        <v>45</v>
      </c>
      <c r="K57" t="s">
        <v>46</v>
      </c>
      <c r="M57" t="s">
        <v>126</v>
      </c>
      <c r="N57" t="s">
        <v>42</v>
      </c>
      <c r="O57" t="s">
        <v>43</v>
      </c>
      <c r="P57" t="s">
        <v>427</v>
      </c>
      <c r="Q57" t="s">
        <v>44</v>
      </c>
      <c r="R57" t="s">
        <v>45</v>
      </c>
      <c r="S57" t="s">
        <v>46</v>
      </c>
      <c r="U57" t="s">
        <v>126</v>
      </c>
      <c r="V57" t="s">
        <v>42</v>
      </c>
      <c r="W57" t="s">
        <v>43</v>
      </c>
      <c r="X57" t="s">
        <v>427</v>
      </c>
      <c r="Y57" t="s">
        <v>44</v>
      </c>
      <c r="Z57" t="s">
        <v>45</v>
      </c>
      <c r="AA57" t="s">
        <v>46</v>
      </c>
      <c r="AC57" t="s">
        <v>464</v>
      </c>
      <c r="AD57" t="s">
        <v>234</v>
      </c>
      <c r="AF57" t="s">
        <v>164</v>
      </c>
      <c r="AG57" t="s">
        <v>165</v>
      </c>
      <c r="AH57" t="s">
        <v>166</v>
      </c>
      <c r="AI57" t="s">
        <v>167</v>
      </c>
      <c r="AJ57" t="s">
        <v>168</v>
      </c>
      <c r="AK57" t="s">
        <v>169</v>
      </c>
      <c r="AL57" t="s">
        <v>418</v>
      </c>
      <c r="AM57" t="s">
        <v>419</v>
      </c>
      <c r="AN57" t="s">
        <v>420</v>
      </c>
      <c r="AP57" t="s">
        <v>173</v>
      </c>
      <c r="AQ57" t="s">
        <v>174</v>
      </c>
      <c r="AR57" t="s">
        <v>176</v>
      </c>
      <c r="AS57" t="s">
        <v>175</v>
      </c>
      <c r="AT57" t="s">
        <v>416</v>
      </c>
      <c r="AU57" t="s">
        <v>417</v>
      </c>
    </row>
    <row r="58" spans="5:47" x14ac:dyDescent="0.45">
      <c r="E58" t="s">
        <v>57</v>
      </c>
      <c r="F58">
        <v>12730.293900000001</v>
      </c>
      <c r="G58">
        <v>15296.785900000001</v>
      </c>
      <c r="H58">
        <v>16110.751099999999</v>
      </c>
      <c r="I58">
        <f ca="1">OFFSET(AP58,0,MATCH(Dashboard!$E$19,Lists!$AH$6:$AH$7,0)-1)</f>
        <v>24764.574100000002</v>
      </c>
      <c r="J58">
        <v>17718.7955</v>
      </c>
      <c r="K58">
        <f>INDEX(AF58:AH58,0,MATCH(Dashboard!$E$15,Lists!$AF$6:$AF$8,0))</f>
        <v>23099.0586</v>
      </c>
      <c r="M58" t="s">
        <v>57</v>
      </c>
      <c r="N58">
        <v>27.630206491187785</v>
      </c>
      <c r="O58">
        <v>29.561722300470326</v>
      </c>
      <c r="P58">
        <v>39.325951408251719</v>
      </c>
      <c r="Q58">
        <f ca="1">OFFSET(AR58,0,MATCH(Dashboard!$E$19,Lists!$AH$6:$AH$7,0)-1)</f>
        <v>85.683900267338458</v>
      </c>
      <c r="R58">
        <v>62.987147803749728</v>
      </c>
      <c r="S58">
        <f>INDEX(AF58:AN58,0,MATCH(Dashboard!$E$15,Lists!$AF$6:$AF$8,0)+3)</f>
        <v>98.604682418098164</v>
      </c>
      <c r="U58" t="s">
        <v>57</v>
      </c>
      <c r="V58">
        <v>3234.1775399999997</v>
      </c>
      <c r="W58">
        <v>3344.4085399999999</v>
      </c>
      <c r="X58">
        <v>3337.7946799999995</v>
      </c>
      <c r="Y58">
        <f ca="1">OFFSET(AT58,0,MATCH(Dashboard!$E$19,Lists!$AH$6:$AH$7,0)-1)</f>
        <v>3838.2434199999998</v>
      </c>
      <c r="Z58">
        <v>3423.7748599999995</v>
      </c>
      <c r="AA58">
        <f>INDEX(AF58:AN58,0,MATCH(Dashboard!$E$15,Lists!$AF$6:$AF$8,0)+6)</f>
        <v>3586.9167399999997</v>
      </c>
      <c r="AD58">
        <f t="shared" ref="AD58:AD67" si="2">$AG$14</f>
        <v>0.74299999999999999</v>
      </c>
      <c r="AF58">
        <v>23099.0586</v>
      </c>
      <c r="AG58">
        <v>30377.281500000001</v>
      </c>
      <c r="AH58">
        <v>41442.629000000001</v>
      </c>
      <c r="AI58">
        <v>98.604682418098164</v>
      </c>
      <c r="AJ58">
        <v>91.898811855501279</v>
      </c>
      <c r="AK58">
        <v>80.809690302676643</v>
      </c>
      <c r="AL58">
        <v>3586.9167399999997</v>
      </c>
      <c r="AM58">
        <v>4010.2037799999998</v>
      </c>
      <c r="AN58">
        <v>4647.3389599999991</v>
      </c>
      <c r="AP58">
        <v>19362.985700000001</v>
      </c>
      <c r="AQ58">
        <v>24764.574100000002</v>
      </c>
      <c r="AR58">
        <v>82.330651532584838</v>
      </c>
      <c r="AS58">
        <v>85.683900267338458</v>
      </c>
      <c r="AT58">
        <v>3569.2797799999998</v>
      </c>
      <c r="AU58">
        <v>3838.2434199999998</v>
      </c>
    </row>
    <row r="59" spans="5:47" x14ac:dyDescent="0.45">
      <c r="E59" t="s">
        <v>58</v>
      </c>
      <c r="F59">
        <v>16045.609399999999</v>
      </c>
      <c r="G59">
        <v>18464.619500000001</v>
      </c>
      <c r="H59">
        <v>19593.805100000001</v>
      </c>
      <c r="I59">
        <f ca="1">OFFSET(AP59,0,MATCH(Dashboard!$E$19,Lists!$AH$6:$AH$7,0)-1)</f>
        <v>28894.6185</v>
      </c>
      <c r="J59">
        <v>22174.0262</v>
      </c>
      <c r="K59">
        <f>INDEX(AF59:AH59,0,MATCH(Dashboard!$E$15,Lists!$AF$6:$AF$8,0))</f>
        <v>27251.884999999998</v>
      </c>
      <c r="M59" t="s">
        <v>58</v>
      </c>
      <c r="N59">
        <v>24.287614927568747</v>
      </c>
      <c r="O59">
        <v>26.802077397159856</v>
      </c>
      <c r="P59">
        <v>35.921178726855388</v>
      </c>
      <c r="Q59">
        <f ca="1">OFFSET(AR59,0,MATCH(Dashboard!$E$19,Lists!$AH$6:$AH$7,0)-1)</f>
        <v>78.838256520370493</v>
      </c>
      <c r="R59">
        <v>56.726604816501705</v>
      </c>
      <c r="S59">
        <f>INDEX(AF59:AN59,0,MATCH(Dashboard!$E$15,Lists!$AF$6:$AF$8,0)+3)</f>
        <v>91.484144773249909</v>
      </c>
      <c r="U59" t="s">
        <v>58</v>
      </c>
      <c r="V59">
        <v>3840.4480399999998</v>
      </c>
      <c r="W59">
        <v>3944.0651799999996</v>
      </c>
      <c r="X59">
        <v>3893.3589199999997</v>
      </c>
      <c r="Y59">
        <f ca="1">OFFSET(AT59,0,MATCH(Dashboard!$E$19,Lists!$AH$6:$AH$7,0)-1)</f>
        <v>4433.49082</v>
      </c>
      <c r="Z59">
        <v>4038.8638399999995</v>
      </c>
      <c r="AA59">
        <f>INDEX(AF59:AN59,0,MATCH(Dashboard!$E$15,Lists!$AF$6:$AF$8,0)+6)</f>
        <v>4157.9133199999997</v>
      </c>
      <c r="AD59">
        <f t="shared" si="2"/>
        <v>0.74299999999999999</v>
      </c>
      <c r="AF59">
        <v>27251.884999999998</v>
      </c>
      <c r="AG59">
        <v>35218.134599999998</v>
      </c>
      <c r="AH59">
        <v>47378.477099999996</v>
      </c>
      <c r="AI59">
        <v>91.484144773249909</v>
      </c>
      <c r="AJ59">
        <v>85.039853735070835</v>
      </c>
      <c r="AK59">
        <v>74.432226796877629</v>
      </c>
      <c r="AL59">
        <v>4157.9133199999997</v>
      </c>
      <c r="AM59">
        <v>4618.6788999999999</v>
      </c>
      <c r="AN59">
        <v>5319.7480599999999</v>
      </c>
      <c r="AP59">
        <v>23075.032599999999</v>
      </c>
      <c r="AQ59">
        <v>28894.6185</v>
      </c>
      <c r="AR59">
        <v>75.612539873970661</v>
      </c>
      <c r="AS59">
        <v>78.838256520370493</v>
      </c>
      <c r="AT59">
        <v>4144.6855999999998</v>
      </c>
      <c r="AU59">
        <v>4433.49082</v>
      </c>
    </row>
    <row r="60" spans="5:47" x14ac:dyDescent="0.45">
      <c r="E60" t="s">
        <v>56</v>
      </c>
      <c r="F60">
        <v>18161.982100000001</v>
      </c>
      <c r="G60">
        <v>20524.889899999998</v>
      </c>
      <c r="H60">
        <v>22009.575400000002</v>
      </c>
      <c r="I60">
        <f ca="1">OFFSET(AP60,0,MATCH(Dashboard!$E$19,Lists!$AH$6:$AH$7,0)-1)</f>
        <v>32177.254300000001</v>
      </c>
      <c r="J60">
        <v>24901.5491</v>
      </c>
      <c r="K60">
        <f>INDEX(AF60:AH60,0,MATCH(Dashboard!$E$15,Lists!$AF$6:$AF$8,0))</f>
        <v>31536.7176</v>
      </c>
      <c r="M60" t="s">
        <v>56</v>
      </c>
      <c r="N60">
        <v>24.342692578226337</v>
      </c>
      <c r="O60">
        <v>25.132221612269227</v>
      </c>
      <c r="P60">
        <v>33.079749304470695</v>
      </c>
      <c r="Q60">
        <f ca="1">OFFSET(AR60,0,MATCH(Dashboard!$E$19,Lists!$AH$6:$AH$7,0)-1)</f>
        <v>68.879898592491728</v>
      </c>
      <c r="R60">
        <v>49.65864940985491</v>
      </c>
      <c r="S60">
        <f>INDEX(AF60:AN60,0,MATCH(Dashboard!$E$15,Lists!$AF$6:$AF$8,0)+3)</f>
        <v>78.741649691722913</v>
      </c>
      <c r="U60" t="s">
        <v>56</v>
      </c>
      <c r="V60">
        <v>3924.2235999999998</v>
      </c>
      <c r="W60">
        <v>4019.0222599999997</v>
      </c>
      <c r="X60">
        <v>4003.5899199999994</v>
      </c>
      <c r="Y60">
        <f ca="1">OFFSET(AT60,0,MATCH(Dashboard!$E$19,Lists!$AH$6:$AH$7,0)-1)</f>
        <v>4609.86042</v>
      </c>
      <c r="Z60">
        <v>4168.93642</v>
      </c>
      <c r="AA60">
        <f>INDEX(AF60:AN60,0,MATCH(Dashboard!$E$15,Lists!$AF$6:$AF$8,0)+6)</f>
        <v>4347.5106399999995</v>
      </c>
      <c r="AD60">
        <f t="shared" si="2"/>
        <v>0.74299999999999999</v>
      </c>
      <c r="AF60">
        <v>31536.7176</v>
      </c>
      <c r="AG60">
        <v>40688.367100000003</v>
      </c>
      <c r="AH60">
        <v>54540.988299999997</v>
      </c>
      <c r="AI60">
        <v>78.741649691722913</v>
      </c>
      <c r="AJ60">
        <v>73.397119439954594</v>
      </c>
      <c r="AK60">
        <v>64.611083500815042</v>
      </c>
      <c r="AL60">
        <v>4347.5106399999995</v>
      </c>
      <c r="AM60">
        <v>4872.2101999999995</v>
      </c>
      <c r="AN60">
        <v>5672.4872599999999</v>
      </c>
      <c r="AP60">
        <v>25976.476299999998</v>
      </c>
      <c r="AQ60">
        <v>32177.254300000001</v>
      </c>
      <c r="AR60">
        <v>66.571220609564023</v>
      </c>
      <c r="AS60">
        <v>68.879898592491728</v>
      </c>
      <c r="AT60">
        <v>4294.5997600000001</v>
      </c>
      <c r="AU60">
        <v>4609.86042</v>
      </c>
    </row>
    <row r="61" spans="5:47" x14ac:dyDescent="0.45">
      <c r="E61" t="s">
        <v>59</v>
      </c>
      <c r="F61">
        <v>19249.179</v>
      </c>
      <c r="G61">
        <v>21620.323700000001</v>
      </c>
      <c r="H61">
        <v>23131.481400000001</v>
      </c>
      <c r="I61">
        <f ca="1">OFFSET(AP61,0,MATCH(Dashboard!$E$19,Lists!$AH$6:$AH$7,0)-1)</f>
        <v>34202.49</v>
      </c>
      <c r="J61">
        <v>26229.244299999998</v>
      </c>
      <c r="K61">
        <f>INDEX(AF61:AH61,0,MATCH(Dashboard!$E$15,Lists!$AF$6:$AF$8,0))</f>
        <v>34111.983999999997</v>
      </c>
      <c r="M61" t="s">
        <v>59</v>
      </c>
      <c r="N61">
        <v>20.74382356943774</v>
      </c>
      <c r="O61">
        <v>23.837844207440735</v>
      </c>
      <c r="P61">
        <v>30.795211499144884</v>
      </c>
      <c r="Q61">
        <f ca="1">OFFSET(AR61,0,MATCH(Dashboard!$E$19,Lists!$AH$6:$AH$7,0)-1)</f>
        <v>63.246359749174751</v>
      </c>
      <c r="R61">
        <v>45.923789989650061</v>
      </c>
      <c r="S61">
        <f>INDEX(AF61:AN61,0,MATCH(Dashboard!$E$15,Lists!$AF$6:$AF$8,0)+3)</f>
        <v>71.805883896690915</v>
      </c>
      <c r="U61" t="s">
        <v>59</v>
      </c>
      <c r="V61">
        <v>4146.8902199999993</v>
      </c>
      <c r="W61">
        <v>4252.71198</v>
      </c>
      <c r="X61">
        <v>4274.7581799999998</v>
      </c>
      <c r="Y61">
        <f ca="1">OFFSET(AT61,0,MATCH(Dashboard!$E$19,Lists!$AH$6:$AH$7,0)-1)</f>
        <v>4931.7349399999994</v>
      </c>
      <c r="Z61">
        <v>4433.49082</v>
      </c>
      <c r="AA61">
        <f>INDEX(AF61:AN61,0,MATCH(Dashboard!$E$15,Lists!$AF$6:$AF$8,0)+6)</f>
        <v>4669.3851599999998</v>
      </c>
      <c r="AD61">
        <f t="shared" si="2"/>
        <v>0.74299999999999999</v>
      </c>
      <c r="AF61">
        <v>34111.983999999997</v>
      </c>
      <c r="AG61">
        <v>44056.006000000001</v>
      </c>
      <c r="AH61">
        <v>59065.606800000001</v>
      </c>
      <c r="AI61">
        <v>71.805883896690915</v>
      </c>
      <c r="AJ61">
        <v>67.006095014414001</v>
      </c>
      <c r="AK61">
        <v>59.128828562615588</v>
      </c>
      <c r="AL61">
        <v>4669.3851599999998</v>
      </c>
      <c r="AM61">
        <v>5242.5863599999993</v>
      </c>
      <c r="AN61">
        <v>6109.0020199999999</v>
      </c>
      <c r="AP61">
        <v>27575.130700000002</v>
      </c>
      <c r="AQ61">
        <v>34202.49</v>
      </c>
      <c r="AR61">
        <v>61.012879095684106</v>
      </c>
      <c r="AS61">
        <v>63.246359749174751</v>
      </c>
      <c r="AT61">
        <v>4592.2234599999992</v>
      </c>
      <c r="AU61">
        <v>4931.7349399999994</v>
      </c>
    </row>
    <row r="62" spans="5:47" x14ac:dyDescent="0.45">
      <c r="E62" t="s">
        <v>60</v>
      </c>
      <c r="F62">
        <v>21604.317599999998</v>
      </c>
      <c r="G62">
        <v>25054.163700000001</v>
      </c>
      <c r="H62">
        <v>27814.092400000001</v>
      </c>
      <c r="I62">
        <f ca="1">OFFSET(AP62,0,MATCH(Dashboard!$E$19,Lists!$AH$6:$AH$7,0)-1)</f>
        <v>39762.827499999999</v>
      </c>
      <c r="J62">
        <v>32304.446100000001</v>
      </c>
      <c r="K62">
        <f>INDEX(AF62:AH62,0,MATCH(Dashboard!$E$15,Lists!$AF$6:$AF$8,0))</f>
        <v>39279.881500000003</v>
      </c>
      <c r="M62" t="s">
        <v>60</v>
      </c>
      <c r="N62">
        <v>17.07124771700434</v>
      </c>
      <c r="O62">
        <v>19.973460702763319</v>
      </c>
      <c r="P62">
        <v>25.406167077329563</v>
      </c>
      <c r="Q62">
        <f ca="1">OFFSET(AR62,0,MATCH(Dashboard!$E$19,Lists!$AH$6:$AH$7,0)-1)</f>
        <v>52.645417693446085</v>
      </c>
      <c r="R62">
        <v>37.514495579942583</v>
      </c>
      <c r="S62">
        <f>INDEX(AF62:AN62,0,MATCH(Dashboard!$E$15,Lists!$AF$6:$AF$8,0)+3)</f>
        <v>61.263014847360012</v>
      </c>
      <c r="U62" t="s">
        <v>60</v>
      </c>
      <c r="V62">
        <v>4737.7283799999996</v>
      </c>
      <c r="W62">
        <v>4874.41482</v>
      </c>
      <c r="X62">
        <v>4821.5039399999996</v>
      </c>
      <c r="Y62">
        <f ca="1">OFFSET(AT62,0,MATCH(Dashboard!$E$19,Lists!$AH$6:$AH$7,0)-1)</f>
        <v>5579.8932199999999</v>
      </c>
      <c r="Z62">
        <v>5172.0385199999992</v>
      </c>
      <c r="AA62">
        <f>INDEX(AF62:AN62,0,MATCH(Dashboard!$E$15,Lists!$AF$6:$AF$8,0)+6)</f>
        <v>5260.2233199999991</v>
      </c>
      <c r="AD62">
        <f t="shared" si="2"/>
        <v>0.74299999999999999</v>
      </c>
      <c r="AF62">
        <v>39279.881500000003</v>
      </c>
      <c r="AG62">
        <v>50945.002800000002</v>
      </c>
      <c r="AH62">
        <v>68518.177899999995</v>
      </c>
      <c r="AI62">
        <v>61.263014847360012</v>
      </c>
      <c r="AJ62">
        <v>57.20966859403493</v>
      </c>
      <c r="AK62">
        <v>50.561360116027217</v>
      </c>
      <c r="AL62">
        <v>5260.2233199999991</v>
      </c>
      <c r="AM62">
        <v>5926.0185599999995</v>
      </c>
      <c r="AN62">
        <v>6931.3252799999991</v>
      </c>
      <c r="AP62">
        <v>31753.577799999999</v>
      </c>
      <c r="AQ62">
        <v>39762.827499999999</v>
      </c>
      <c r="AR62">
        <v>50.798200759260368</v>
      </c>
      <c r="AS62">
        <v>52.645417693446085</v>
      </c>
      <c r="AT62">
        <v>5169.8338999999996</v>
      </c>
      <c r="AU62">
        <v>5579.8932199999999</v>
      </c>
    </row>
    <row r="63" spans="5:47" x14ac:dyDescent="0.45">
      <c r="E63" t="s">
        <v>119</v>
      </c>
      <c r="F63">
        <v>13377.3483</v>
      </c>
      <c r="G63">
        <v>15816.2287</v>
      </c>
      <c r="H63">
        <v>17031.517899999999</v>
      </c>
      <c r="I63">
        <f ca="1">OFFSET(AP63,0,MATCH(Dashboard!$E$19,Lists!$AH$6:$AH$7,0)-1)</f>
        <v>26100.6469</v>
      </c>
      <c r="J63">
        <v>19548.039100000002</v>
      </c>
      <c r="K63">
        <f>INDEX(AF63:AH63,0,MATCH(Dashboard!$E$15,Lists!$AF$6:$AF$8,0))</f>
        <v>24239.0533</v>
      </c>
      <c r="M63" t="s">
        <v>119</v>
      </c>
      <c r="N63">
        <v>24.49093963239185</v>
      </c>
      <c r="O63">
        <v>27.630206491187785</v>
      </c>
      <c r="P63">
        <v>36.706474649307104</v>
      </c>
      <c r="Q63">
        <f ca="1">OFFSET(AR63,0,MATCH(Dashboard!$E$19,Lists!$AH$6:$AH$7,0)-1)</f>
        <v>80.461910631125718</v>
      </c>
      <c r="R63">
        <v>57.890204875288255</v>
      </c>
      <c r="S63">
        <f>INDEX(AF63:AN63,0,MATCH(Dashboard!$E$15,Lists!$AF$6:$AF$8,0)+3)</f>
        <v>94.060439808607327</v>
      </c>
      <c r="U63" t="s">
        <v>119</v>
      </c>
      <c r="V63">
        <v>3496.5273199999997</v>
      </c>
      <c r="W63">
        <v>3608.9629399999999</v>
      </c>
      <c r="X63">
        <v>3569.2797799999998</v>
      </c>
      <c r="Y63">
        <f ca="1">OFFSET(AT63,0,MATCH(Dashboard!$E$19,Lists!$AH$6:$AH$7,0)-1)</f>
        <v>4096.1839599999994</v>
      </c>
      <c r="Z63">
        <v>3708.1708399999998</v>
      </c>
      <c r="AA63">
        <f>INDEX(AF63:AN63,0,MATCH(Dashboard!$E$15,Lists!$AF$6:$AF$8,0)+6)</f>
        <v>3802.9694999999997</v>
      </c>
      <c r="AD63">
        <f t="shared" si="2"/>
        <v>0.74299999999999999</v>
      </c>
      <c r="AF63">
        <v>24239.0533</v>
      </c>
      <c r="AG63">
        <v>32043.548500000001</v>
      </c>
      <c r="AH63">
        <v>43778.419300000001</v>
      </c>
      <c r="AI63">
        <v>94.060439808607327</v>
      </c>
      <c r="AJ63">
        <v>87.418559393540335</v>
      </c>
      <c r="AK63">
        <v>76.709843037835583</v>
      </c>
      <c r="AL63">
        <v>3802.9694999999997</v>
      </c>
      <c r="AM63">
        <v>4252.71198</v>
      </c>
      <c r="AN63">
        <v>4929.5303199999998</v>
      </c>
      <c r="AP63">
        <v>20385.624599999999</v>
      </c>
      <c r="AQ63">
        <v>26100.6469</v>
      </c>
      <c r="AR63">
        <v>77.125660209763964</v>
      </c>
      <c r="AS63">
        <v>80.461910631125718</v>
      </c>
      <c r="AT63">
        <v>3816.1972199999996</v>
      </c>
      <c r="AU63">
        <v>4096.1839599999994</v>
      </c>
    </row>
    <row r="64" spans="5:47" x14ac:dyDescent="0.45">
      <c r="E64" t="s">
        <v>120</v>
      </c>
      <c r="F64">
        <v>17446.373599999999</v>
      </c>
      <c r="G64">
        <v>20926.45</v>
      </c>
      <c r="H64">
        <v>21923.452300000001</v>
      </c>
      <c r="I64">
        <f ca="1">OFFSET(AP64,0,MATCH(Dashboard!$E$19,Lists!$AH$6:$AH$7,0)-1)</f>
        <v>32020.976999999999</v>
      </c>
      <c r="J64">
        <v>26712.901699999999</v>
      </c>
      <c r="K64">
        <f>INDEX(AF64:AH64,0,MATCH(Dashboard!$E$15,Lists!$AF$6:$AF$8,0))</f>
        <v>28871.769799999998</v>
      </c>
      <c r="M64" t="s">
        <v>120</v>
      </c>
      <c r="N64">
        <v>19.463899934173373</v>
      </c>
      <c r="O64">
        <v>23.740868960365209</v>
      </c>
      <c r="P64">
        <v>32.416147712512441</v>
      </c>
      <c r="Q64">
        <f ca="1">OFFSET(AR64,0,MATCH(Dashboard!$E$19,Lists!$AH$6:$AH$7,0)-1)</f>
        <v>72.482865004834125</v>
      </c>
      <c r="R64">
        <v>49.393317555478575</v>
      </c>
      <c r="S64">
        <f>INDEX(AF64:AN64,0,MATCH(Dashboard!$E$15,Lists!$AF$6:$AF$8,0)+3)</f>
        <v>87.119232645527177</v>
      </c>
      <c r="U64" t="s">
        <v>120</v>
      </c>
      <c r="V64">
        <v>4116.0255399999996</v>
      </c>
      <c r="W64">
        <v>4257.12122</v>
      </c>
      <c r="X64">
        <v>4157.9133199999997</v>
      </c>
      <c r="Y64">
        <f ca="1">OFFSET(AT64,0,MATCH(Dashboard!$E$19,Lists!$AH$6:$AH$7,0)-1)</f>
        <v>4733.3191399999996</v>
      </c>
      <c r="Z64">
        <v>4457.7416399999993</v>
      </c>
      <c r="AA64">
        <f>INDEX(AF64:AN64,0,MATCH(Dashboard!$E$15,Lists!$AF$6:$AF$8,0)+6)</f>
        <v>4343.1013999999996</v>
      </c>
      <c r="AD64">
        <f t="shared" si="2"/>
        <v>0.74299999999999999</v>
      </c>
      <c r="AF64">
        <v>28871.769799999998</v>
      </c>
      <c r="AG64">
        <v>37379.1587</v>
      </c>
      <c r="AH64">
        <v>50218.75</v>
      </c>
      <c r="AI64">
        <v>87.119232645527177</v>
      </c>
      <c r="AJ64">
        <v>80.909281901716184</v>
      </c>
      <c r="AK64">
        <v>70.778588728196624</v>
      </c>
      <c r="AL64">
        <v>4343.1013999999996</v>
      </c>
      <c r="AM64">
        <v>4828.1178</v>
      </c>
      <c r="AN64">
        <v>5564.4608799999996</v>
      </c>
      <c r="AP64">
        <v>25556.863600000001</v>
      </c>
      <c r="AQ64">
        <v>32020.976999999999</v>
      </c>
      <c r="AR64">
        <v>69.352627215195881</v>
      </c>
      <c r="AS64">
        <v>72.482865004834125</v>
      </c>
      <c r="AT64">
        <v>4424.6723399999992</v>
      </c>
      <c r="AU64">
        <v>4733.3191399999996</v>
      </c>
    </row>
    <row r="65" spans="5:47" x14ac:dyDescent="0.45">
      <c r="E65" t="s">
        <v>121</v>
      </c>
      <c r="F65">
        <v>19046.3069</v>
      </c>
      <c r="G65">
        <v>22322.5861</v>
      </c>
      <c r="H65">
        <v>23746.177899999999</v>
      </c>
      <c r="I65">
        <f ca="1">OFFSET(AP65,0,MATCH(Dashboard!$E$19,Lists!$AH$6:$AH$7,0)-1)</f>
        <v>34473.976000000002</v>
      </c>
      <c r="J65">
        <v>27870.647000000001</v>
      </c>
      <c r="K65">
        <f>INDEX(AF65:AH65,0,MATCH(Dashboard!$E$15,Lists!$AF$6:$AF$8,0))</f>
        <v>32888.148399999998</v>
      </c>
      <c r="M65" t="s">
        <v>121</v>
      </c>
      <c r="N65">
        <v>20.225625061993536</v>
      </c>
      <c r="O65">
        <v>23.500332238037927</v>
      </c>
      <c r="P65">
        <v>30.418379815863094</v>
      </c>
      <c r="Q65">
        <f ca="1">OFFSET(AR65,0,MATCH(Dashboard!$E$19,Lists!$AH$6:$AH$7,0)-1)</f>
        <v>64.519510456295549</v>
      </c>
      <c r="R65">
        <v>45.616759934983463</v>
      </c>
      <c r="S65">
        <f>INDEX(AF65:AN65,0,MATCH(Dashboard!$E$15,Lists!$AF$6:$AF$8,0)+3)</f>
        <v>75.903366783922948</v>
      </c>
      <c r="U65" t="s">
        <v>121</v>
      </c>
      <c r="V65">
        <v>4237.2796399999997</v>
      </c>
      <c r="W65">
        <v>4351.9198799999995</v>
      </c>
      <c r="X65">
        <v>4325.4644399999997</v>
      </c>
      <c r="Y65">
        <f ca="1">OFFSET(AT65,0,MATCH(Dashboard!$E$19,Lists!$AH$6:$AH$7,0)-1)</f>
        <v>4960.3949999999995</v>
      </c>
      <c r="Z65">
        <v>4563.5634</v>
      </c>
      <c r="AA65">
        <f>INDEX(AF65:AN65,0,MATCH(Dashboard!$E$15,Lists!$AF$6:$AF$8,0)+6)</f>
        <v>4601.0419399999992</v>
      </c>
      <c r="AD65">
        <f t="shared" si="2"/>
        <v>0.74299999999999999</v>
      </c>
      <c r="AF65">
        <v>32888.148399999998</v>
      </c>
      <c r="AG65">
        <v>42559.1826</v>
      </c>
      <c r="AH65">
        <v>57107.145499999999</v>
      </c>
      <c r="AI65">
        <v>75.903366783922948</v>
      </c>
      <c r="AJ65">
        <v>70.569766574208089</v>
      </c>
      <c r="AK65">
        <v>61.969634649040145</v>
      </c>
      <c r="AL65">
        <v>4601.0419399999992</v>
      </c>
      <c r="AM65">
        <v>5156.6061799999998</v>
      </c>
      <c r="AN65">
        <v>5989.9525399999993</v>
      </c>
      <c r="AP65">
        <v>27821.5219</v>
      </c>
      <c r="AQ65">
        <v>34473.976000000002</v>
      </c>
      <c r="AR65">
        <v>61.705916098067654</v>
      </c>
      <c r="AS65">
        <v>64.519510456295549</v>
      </c>
      <c r="AT65">
        <v>4625.2927599999994</v>
      </c>
      <c r="AU65">
        <v>4960.3949999999995</v>
      </c>
    </row>
    <row r="66" spans="5:47" x14ac:dyDescent="0.45">
      <c r="E66" t="s">
        <v>122</v>
      </c>
      <c r="F66">
        <v>20541.2716</v>
      </c>
      <c r="G66">
        <v>23983.48</v>
      </c>
      <c r="H66">
        <v>25691.230599999999</v>
      </c>
      <c r="I66">
        <f ca="1">OFFSET(AP66,0,MATCH(Dashboard!$E$19,Lists!$AH$6:$AH$7,0)-1)</f>
        <v>37718.918899999997</v>
      </c>
      <c r="J66">
        <v>30992.6034</v>
      </c>
      <c r="K66">
        <f>INDEX(AF66:AH66,0,MATCH(Dashboard!$E$15,Lists!$AF$6:$AF$8,0))</f>
        <v>36577.478900000002</v>
      </c>
      <c r="M66" t="s">
        <v>122</v>
      </c>
      <c r="N66">
        <v>18.193523299748549</v>
      </c>
      <c r="O66">
        <v>21.123688618419752</v>
      </c>
      <c r="P66">
        <v>27.171381748754531</v>
      </c>
      <c r="Q66">
        <f ca="1">OFFSET(AR66,0,MATCH(Dashboard!$E$19,Lists!$AH$6:$AH$7,0)-1)</f>
        <v>57.331275796892477</v>
      </c>
      <c r="R66">
        <v>40.577923785741547</v>
      </c>
      <c r="S66">
        <f>INDEX(AF66:AN66,0,MATCH(Dashboard!$E$15,Lists!$AF$6:$AF$8,0)+3)</f>
        <v>67.297310876547712</v>
      </c>
      <c r="U66" t="s">
        <v>122</v>
      </c>
      <c r="V66">
        <v>4784.0253999999995</v>
      </c>
      <c r="W66">
        <v>4927.3256999999994</v>
      </c>
      <c r="X66">
        <v>4892.0517799999998</v>
      </c>
      <c r="Y66">
        <f ca="1">OFFSET(AT66,0,MATCH(Dashboard!$E$19,Lists!$AH$6:$AH$7,0)-1)</f>
        <v>5606.3486599999997</v>
      </c>
      <c r="Z66">
        <v>5220.5401599999996</v>
      </c>
      <c r="AA66">
        <f>INDEX(AF66:AN66,0,MATCH(Dashboard!$E$15,Lists!$AF$6:$AF$8,0)+6)</f>
        <v>5251.4048399999992</v>
      </c>
      <c r="AD66">
        <f t="shared" si="2"/>
        <v>0.74299999999999999</v>
      </c>
      <c r="AF66">
        <v>36577.478900000002</v>
      </c>
      <c r="AG66">
        <v>47450.958100000003</v>
      </c>
      <c r="AH66">
        <v>63912.458299999998</v>
      </c>
      <c r="AI66">
        <v>67.297310876547712</v>
      </c>
      <c r="AJ66">
        <v>62.598893742786743</v>
      </c>
      <c r="AK66">
        <v>54.940406943925019</v>
      </c>
      <c r="AL66">
        <v>5251.4048399999992</v>
      </c>
      <c r="AM66">
        <v>5875.3122999999996</v>
      </c>
      <c r="AN66">
        <v>6818.8896599999998</v>
      </c>
      <c r="AP66">
        <v>30256.487700000001</v>
      </c>
      <c r="AQ66">
        <v>37718.918899999997</v>
      </c>
      <c r="AR66">
        <v>54.970475411335435</v>
      </c>
      <c r="AS66">
        <v>57.331275796892477</v>
      </c>
      <c r="AT66">
        <v>5229.3586399999995</v>
      </c>
      <c r="AU66">
        <v>5606.3486599999997</v>
      </c>
    </row>
    <row r="67" spans="5:47" x14ac:dyDescent="0.45">
      <c r="E67" t="s">
        <v>123</v>
      </c>
      <c r="F67">
        <v>21916.436399999999</v>
      </c>
      <c r="G67">
        <v>25521.107400000001</v>
      </c>
      <c r="H67">
        <v>29300.881000000001</v>
      </c>
      <c r="I67">
        <f ca="1">OFFSET(AP67,0,MATCH(Dashboard!$E$19,Lists!$AH$6:$AH$7,0)-1)</f>
        <v>41337.371599999999</v>
      </c>
      <c r="J67">
        <v>34333.5605</v>
      </c>
      <c r="K67">
        <f>INDEX(AF67:AH67,0,MATCH(Dashboard!$E$15,Lists!$AF$6:$AF$8,0))</f>
        <v>41356.842100000002</v>
      </c>
      <c r="M67" t="s">
        <v>123</v>
      </c>
      <c r="N67">
        <v>16.01539458004245</v>
      </c>
      <c r="O67">
        <v>18.417318896386377</v>
      </c>
      <c r="P67">
        <v>23.489437059412268</v>
      </c>
      <c r="Q67">
        <f ca="1">OFFSET(AR67,0,MATCH(Dashboard!$E$19,Lists!$AH$6:$AH$7,0)-1)</f>
        <v>49.046838930093294</v>
      </c>
      <c r="R67">
        <v>34.745543469186458</v>
      </c>
      <c r="S67">
        <f>INDEX(AF67:AN67,0,MATCH(Dashboard!$E$15,Lists!$AF$6:$AF$8,0)+3)</f>
        <v>57.038904940973133</v>
      </c>
      <c r="U67" t="s">
        <v>123</v>
      </c>
      <c r="V67">
        <v>5449.8206399999999</v>
      </c>
      <c r="W67">
        <v>5626.1902399999999</v>
      </c>
      <c r="X67">
        <v>5504.9361399999998</v>
      </c>
      <c r="Y67">
        <f ca="1">OFFSET(AT67,0,MATCH(Dashboard!$E$19,Lists!$AH$6:$AH$7,0)-1)</f>
        <v>6298.5993399999998</v>
      </c>
      <c r="Z67">
        <v>5956.8832399999992</v>
      </c>
      <c r="AA67">
        <f>INDEX(AF67:AN67,0,MATCH(Dashboard!$E$15,Lists!$AF$6:$AF$8,0)+6)</f>
        <v>6007.5894999999991</v>
      </c>
      <c r="AD67">
        <f t="shared" si="2"/>
        <v>0.74299999999999999</v>
      </c>
      <c r="AF67">
        <v>41356.842100000002</v>
      </c>
      <c r="AG67">
        <v>54018.096400000002</v>
      </c>
      <c r="AH67">
        <v>73258.736799999999</v>
      </c>
      <c r="AI67">
        <v>57.038904940973133</v>
      </c>
      <c r="AJ67">
        <v>53.174434026093017</v>
      </c>
      <c r="AK67">
        <v>46.799811778156034</v>
      </c>
      <c r="AL67">
        <v>6007.5894999999991</v>
      </c>
      <c r="AM67">
        <v>6732.9094799999993</v>
      </c>
      <c r="AN67">
        <v>7835.2194799999997</v>
      </c>
      <c r="AP67">
        <v>32888.554799999998</v>
      </c>
      <c r="AQ67">
        <v>41337.371599999999</v>
      </c>
      <c r="AR67">
        <v>47.350443269242568</v>
      </c>
      <c r="AS67">
        <v>49.046838930093294</v>
      </c>
      <c r="AT67">
        <v>5870.9030599999996</v>
      </c>
      <c r="AU67">
        <v>6298.5993399999998</v>
      </c>
    </row>
    <row r="68" spans="5:47" x14ac:dyDescent="0.45">
      <c r="E68" t="s">
        <v>115</v>
      </c>
      <c r="G68" s="19">
        <v>143547.94883626094</v>
      </c>
      <c r="H68">
        <v>155852.20211507857</v>
      </c>
      <c r="I68">
        <v>568369.58239164646</v>
      </c>
      <c r="J68">
        <v>359510.9934845661</v>
      </c>
      <c r="K68">
        <v>949388.79764263832</v>
      </c>
      <c r="L68" s="76"/>
      <c r="M68" t="s">
        <v>115</v>
      </c>
      <c r="O68">
        <v>6.6620598318259745</v>
      </c>
      <c r="P68">
        <v>6.5581334071806339</v>
      </c>
      <c r="Q68">
        <v>6.1123574106502288</v>
      </c>
      <c r="R68">
        <v>6.6987177929802719</v>
      </c>
      <c r="S68">
        <v>11.589400574871437</v>
      </c>
      <c r="U68" t="s">
        <v>115</v>
      </c>
      <c r="W68">
        <v>67140.297273070348</v>
      </c>
      <c r="X68">
        <v>67753.457257878108</v>
      </c>
      <c r="Y68">
        <v>76664.027995656215</v>
      </c>
      <c r="Z68">
        <v>69669.783751270501</v>
      </c>
      <c r="AA68">
        <v>81567.152899830035</v>
      </c>
      <c r="AC68">
        <v>38203.272007845997</v>
      </c>
      <c r="AD68">
        <v>0.24129999845248973</v>
      </c>
    </row>
    <row r="69" spans="5:47" x14ac:dyDescent="0.45">
      <c r="E69" t="s">
        <v>116</v>
      </c>
      <c r="G69">
        <v>122338.01592068397</v>
      </c>
      <c r="H69">
        <v>133243.0396545137</v>
      </c>
      <c r="I69">
        <v>351950.0829773639</v>
      </c>
      <c r="J69">
        <v>312713.21109347313</v>
      </c>
      <c r="K69">
        <v>536184.89060419961</v>
      </c>
      <c r="L69" s="76"/>
      <c r="M69" t="s">
        <v>116</v>
      </c>
      <c r="O69">
        <v>6.1418143450536231</v>
      </c>
      <c r="P69">
        <v>6.1083034264468887</v>
      </c>
      <c r="Q69">
        <v>6.1967880780091038</v>
      </c>
      <c r="R69">
        <v>6.2888010628684681</v>
      </c>
      <c r="S69">
        <v>11.901953294377487</v>
      </c>
      <c r="U69" t="s">
        <v>116</v>
      </c>
      <c r="W69">
        <v>64752.573392089995</v>
      </c>
      <c r="X69">
        <v>65290.5021012988</v>
      </c>
      <c r="Y69">
        <v>70078.181213788834</v>
      </c>
      <c r="Z69">
        <v>66347.687461890222</v>
      </c>
      <c r="AA69">
        <v>70713.877392650946</v>
      </c>
      <c r="AC69">
        <v>38192.102080154</v>
      </c>
      <c r="AD69">
        <v>0.31471651539298884</v>
      </c>
    </row>
    <row r="70" spans="5:47" x14ac:dyDescent="0.45">
      <c r="E70" t="s">
        <v>117</v>
      </c>
      <c r="G70">
        <v>96771.806566877567</v>
      </c>
      <c r="H70">
        <v>110519.93724295689</v>
      </c>
      <c r="I70">
        <v>262745.16018791136</v>
      </c>
      <c r="J70">
        <v>204889.99192581963</v>
      </c>
      <c r="K70">
        <v>391535.94178852061</v>
      </c>
      <c r="L70" s="76"/>
      <c r="M70" t="s">
        <v>117</v>
      </c>
      <c r="O70">
        <v>7.0070616114640893</v>
      </c>
      <c r="P70">
        <v>7.9757119367259772</v>
      </c>
      <c r="Q70">
        <v>10.900924662288375</v>
      </c>
      <c r="R70">
        <v>9.3064336455839776</v>
      </c>
      <c r="S70">
        <v>17.464383354107841</v>
      </c>
      <c r="U70" t="s">
        <v>117</v>
      </c>
      <c r="W70">
        <v>41320.260187029511</v>
      </c>
      <c r="X70">
        <v>42160.696727138296</v>
      </c>
      <c r="Y70">
        <v>46351.807328297626</v>
      </c>
      <c r="Z70">
        <v>42902.55356623105</v>
      </c>
      <c r="AA70">
        <v>46402.947375642296</v>
      </c>
      <c r="AC70">
        <v>15153.969907845998</v>
      </c>
      <c r="AD70">
        <v>0.57889703177861507</v>
      </c>
    </row>
    <row r="71" spans="5:47" x14ac:dyDescent="0.45">
      <c r="E71" t="s">
        <v>124</v>
      </c>
      <c r="G71">
        <v>73439.314381448479</v>
      </c>
      <c r="H71">
        <v>87181.907861893138</v>
      </c>
      <c r="I71">
        <v>169263.30497364202</v>
      </c>
      <c r="J71">
        <v>158481.45723625607</v>
      </c>
      <c r="K71">
        <v>231839.54641013927</v>
      </c>
      <c r="L71" s="76"/>
      <c r="M71" t="s">
        <v>124</v>
      </c>
      <c r="O71">
        <v>10.175438648161142</v>
      </c>
      <c r="P71">
        <v>11.28391360170785</v>
      </c>
      <c r="Q71">
        <v>16.973272349159434</v>
      </c>
      <c r="R71">
        <v>14.366121755050621</v>
      </c>
      <c r="S71">
        <v>27.413757627854547</v>
      </c>
      <c r="U71" t="s">
        <v>124</v>
      </c>
      <c r="W71">
        <v>23012.631426141626</v>
      </c>
      <c r="X71">
        <v>23903.276360063999</v>
      </c>
      <c r="Y71">
        <v>26518.621795946765</v>
      </c>
      <c r="Z71">
        <v>24130.484100209032</v>
      </c>
      <c r="AA71">
        <v>25273.425950744535</v>
      </c>
      <c r="AC71">
        <v>11345.262884295998</v>
      </c>
      <c r="AD71">
        <v>0.65204758831803677</v>
      </c>
    </row>
    <row r="72" spans="5:47" x14ac:dyDescent="0.45">
      <c r="E72" t="s">
        <v>125</v>
      </c>
      <c r="G72">
        <v>59050.921553461216</v>
      </c>
      <c r="H72">
        <v>69630.365942782068</v>
      </c>
      <c r="I72">
        <v>115457.51810029703</v>
      </c>
      <c r="J72">
        <v>124716.84930624462</v>
      </c>
      <c r="K72">
        <v>158908.68337107787</v>
      </c>
      <c r="L72" s="76"/>
      <c r="M72" t="s">
        <v>125</v>
      </c>
      <c r="O72">
        <v>12.847528613865805</v>
      </c>
      <c r="P72">
        <v>15.589904653781785</v>
      </c>
      <c r="Q72">
        <v>23.164866868879443</v>
      </c>
      <c r="R72">
        <v>22.731339494638792</v>
      </c>
      <c r="S72">
        <v>43.183195037458717</v>
      </c>
      <c r="U72" t="s">
        <v>125</v>
      </c>
      <c r="W72">
        <v>15077.56804644331</v>
      </c>
      <c r="X72">
        <v>14189.508370731932</v>
      </c>
      <c r="Y72">
        <v>15712.096069045057</v>
      </c>
      <c r="Z72">
        <v>13769.141323753194</v>
      </c>
      <c r="AA72">
        <v>14593.717806434295</v>
      </c>
      <c r="AC72">
        <v>6073.3680855539988</v>
      </c>
      <c r="AD72">
        <v>0.5950265823556653</v>
      </c>
    </row>
    <row r="73" spans="5:47" x14ac:dyDescent="0.45">
      <c r="E73" t="s">
        <v>118</v>
      </c>
      <c r="G73">
        <v>120303.42625468114</v>
      </c>
      <c r="H73">
        <v>134798.13222093985</v>
      </c>
      <c r="I73">
        <v>233662.85017465142</v>
      </c>
      <c r="J73">
        <v>209542.00311608828</v>
      </c>
      <c r="K73">
        <v>324793.70622225001</v>
      </c>
      <c r="L73" s="76"/>
      <c r="M73" t="s">
        <v>118</v>
      </c>
      <c r="O73">
        <v>7.0786461062877297</v>
      </c>
      <c r="P73">
        <v>7.8581252931155463</v>
      </c>
      <c r="Q73">
        <v>3.7899963375466657</v>
      </c>
      <c r="R73">
        <v>9.8796185368350748</v>
      </c>
      <c r="S73">
        <v>18.785365271903114</v>
      </c>
      <c r="U73" t="s">
        <v>118</v>
      </c>
      <c r="W73">
        <v>35576.042700136415</v>
      </c>
      <c r="X73">
        <v>36943.764100582368</v>
      </c>
      <c r="Y73">
        <v>39012.158458663529</v>
      </c>
      <c r="Z73">
        <v>36305.83559371825</v>
      </c>
      <c r="AA73">
        <v>38479.1447463566</v>
      </c>
      <c r="AC73">
        <v>8818.48</v>
      </c>
      <c r="AD73">
        <v>0.49629728974977283</v>
      </c>
    </row>
    <row r="74" spans="5:47" x14ac:dyDescent="0.45">
      <c r="E74" t="s">
        <v>138</v>
      </c>
      <c r="G74">
        <v>102948.68739784345</v>
      </c>
      <c r="H74">
        <v>112333.27872148562</v>
      </c>
      <c r="K74">
        <v>329348.99956551008</v>
      </c>
      <c r="L74" s="76"/>
      <c r="M74" t="s">
        <v>138</v>
      </c>
      <c r="O74">
        <v>5.2044431806212703</v>
      </c>
      <c r="P74">
        <v>5.9955021619315456</v>
      </c>
      <c r="S74">
        <v>18.317970163622466</v>
      </c>
      <c r="U74" t="s">
        <v>138</v>
      </c>
      <c r="W74">
        <v>54061.680783132106</v>
      </c>
      <c r="X74">
        <v>54845.289430488148</v>
      </c>
      <c r="AA74">
        <v>57476.599930634955</v>
      </c>
      <c r="AC74">
        <v>27337.287999999997</v>
      </c>
      <c r="AD74">
        <v>0</v>
      </c>
    </row>
    <row r="77" spans="5:47" x14ac:dyDescent="0.45">
      <c r="E77" t="s">
        <v>127</v>
      </c>
      <c r="F77" t="s">
        <v>42</v>
      </c>
      <c r="G77" t="s">
        <v>43</v>
      </c>
      <c r="H77" t="s">
        <v>427</v>
      </c>
      <c r="I77" t="s">
        <v>44</v>
      </c>
      <c r="J77" t="s">
        <v>45</v>
      </c>
      <c r="K77" t="s">
        <v>46</v>
      </c>
      <c r="M77" t="s">
        <v>127</v>
      </c>
      <c r="N77" t="s">
        <v>42</v>
      </c>
      <c r="O77" t="s">
        <v>43</v>
      </c>
      <c r="P77" t="s">
        <v>427</v>
      </c>
      <c r="Q77" t="s">
        <v>44</v>
      </c>
      <c r="R77" t="s">
        <v>45</v>
      </c>
      <c r="S77" t="s">
        <v>46</v>
      </c>
      <c r="U77" t="s">
        <v>127</v>
      </c>
      <c r="V77" t="s">
        <v>42</v>
      </c>
      <c r="W77" t="s">
        <v>43</v>
      </c>
      <c r="X77" t="s">
        <v>427</v>
      </c>
      <c r="Y77" t="s">
        <v>44</v>
      </c>
      <c r="Z77" t="s">
        <v>45</v>
      </c>
      <c r="AA77" t="s">
        <v>46</v>
      </c>
      <c r="AC77" t="s">
        <v>464</v>
      </c>
      <c r="AD77" t="s">
        <v>234</v>
      </c>
      <c r="AF77" t="s">
        <v>164</v>
      </c>
      <c r="AG77" t="s">
        <v>165</v>
      </c>
      <c r="AH77" t="s">
        <v>166</v>
      </c>
      <c r="AI77" t="s">
        <v>167</v>
      </c>
      <c r="AJ77" t="s">
        <v>168</v>
      </c>
      <c r="AK77" t="s">
        <v>169</v>
      </c>
      <c r="AL77" t="s">
        <v>418</v>
      </c>
      <c r="AM77" t="s">
        <v>419</v>
      </c>
      <c r="AN77" t="s">
        <v>420</v>
      </c>
      <c r="AP77" t="s">
        <v>173</v>
      </c>
      <c r="AQ77" t="s">
        <v>174</v>
      </c>
      <c r="AR77" t="s">
        <v>176</v>
      </c>
      <c r="AS77" t="s">
        <v>175</v>
      </c>
      <c r="AT77" t="s">
        <v>416</v>
      </c>
      <c r="AU77" t="s">
        <v>417</v>
      </c>
    </row>
    <row r="78" spans="5:47" x14ac:dyDescent="0.45">
      <c r="E78" t="s">
        <v>57</v>
      </c>
      <c r="F78">
        <v>14330.446099999999</v>
      </c>
      <c r="G78">
        <v>16757.662</v>
      </c>
      <c r="H78">
        <v>16020.343000000001</v>
      </c>
      <c r="I78">
        <f ca="1">OFFSET(AP78,0,MATCH(Dashboard!$E$19,Lists!$AH$6:$AH$7,0)-1)</f>
        <v>21790.9051</v>
      </c>
      <c r="J78">
        <v>17497.509999999998</v>
      </c>
      <c r="K78">
        <f>INDEX(AF78:AH78,0,MATCH(Dashboard!$E$15,Lists!$AF$6:$AF$8,0))</f>
        <v>20483.307000000001</v>
      </c>
      <c r="M78" t="s">
        <v>57</v>
      </c>
      <c r="N78">
        <v>29.501486146850578</v>
      </c>
      <c r="O78">
        <v>33.479154328552276</v>
      </c>
      <c r="P78">
        <v>40.842973031770384</v>
      </c>
      <c r="Q78">
        <f ca="1">OFFSET(AR78,0,MATCH(Dashboard!$E$19,Lists!$AH$6:$AH$7,0)-1)</f>
        <v>92.966191382550193</v>
      </c>
      <c r="R78">
        <v>67.966598766980809</v>
      </c>
      <c r="S78">
        <f>INDEX(AF78:AN78,0,MATCH(Dashboard!$E$15,Lists!$AF$6:$AF$8,0)+3)</f>
        <v>104.88709387863886</v>
      </c>
      <c r="U78" t="s">
        <v>57</v>
      </c>
      <c r="V78">
        <v>3218.7451999999998</v>
      </c>
      <c r="W78">
        <v>3324.5669599999997</v>
      </c>
      <c r="X78">
        <v>3240.7913999999996</v>
      </c>
      <c r="Y78">
        <f ca="1">OFFSET(AT78,0,MATCH(Dashboard!$E$19,Lists!$AH$6:$AH$7,0)-1)</f>
        <v>3582.5074999999997</v>
      </c>
      <c r="Z78">
        <v>3300.3161399999999</v>
      </c>
      <c r="AA78">
        <f>INDEX(AF78:AN78,0,MATCH(Dashboard!$E$15,Lists!$AF$6:$AF$8,0)+6)</f>
        <v>3456.8441599999996</v>
      </c>
      <c r="AD78">
        <f t="shared" ref="AD78:AD87" si="3">$AG$14</f>
        <v>0.74299999999999999</v>
      </c>
      <c r="AF78">
        <v>20483.307000000001</v>
      </c>
      <c r="AG78">
        <v>26015.281999999999</v>
      </c>
      <c r="AH78">
        <v>34417.434500000003</v>
      </c>
      <c r="AI78">
        <v>104.88709387863886</v>
      </c>
      <c r="AJ78">
        <v>98.074140447378142</v>
      </c>
      <c r="AK78">
        <v>86.421590950109788</v>
      </c>
      <c r="AL78">
        <v>3456.8441599999996</v>
      </c>
      <c r="AM78">
        <v>3847.0618999999997</v>
      </c>
      <c r="AN78">
        <v>4442.3092999999999</v>
      </c>
      <c r="AP78">
        <v>18506.631700000002</v>
      </c>
      <c r="AQ78">
        <v>21790.9051</v>
      </c>
      <c r="AR78">
        <v>88.151036131661584</v>
      </c>
      <c r="AS78">
        <v>92.966191382550193</v>
      </c>
      <c r="AT78">
        <v>3399.5240399999998</v>
      </c>
      <c r="AU78">
        <v>3582.5074999999997</v>
      </c>
    </row>
    <row r="79" spans="5:47" x14ac:dyDescent="0.45">
      <c r="E79" t="s">
        <v>58</v>
      </c>
      <c r="F79">
        <v>18521.813300000002</v>
      </c>
      <c r="G79">
        <v>20780.199000000001</v>
      </c>
      <c r="H79">
        <v>20250.782899999998</v>
      </c>
      <c r="I79">
        <f ca="1">OFFSET(AP79,0,MATCH(Dashboard!$E$19,Lists!$AH$6:$AH$7,0)-1)</f>
        <v>26295.116999999998</v>
      </c>
      <c r="J79">
        <v>22418.548699999999</v>
      </c>
      <c r="K79">
        <f>INDEX(AF79:AH79,0,MATCH(Dashboard!$E$15,Lists!$AF$6:$AF$8,0))</f>
        <v>25005.076300000001</v>
      </c>
      <c r="M79" t="s">
        <v>58</v>
      </c>
      <c r="N79">
        <v>26.66380205935091</v>
      </c>
      <c r="O79">
        <v>30.843084371423306</v>
      </c>
      <c r="P79">
        <v>39.996838732599436</v>
      </c>
      <c r="Q79">
        <f ca="1">OFFSET(AR79,0,MATCH(Dashboard!$E$19,Lists!$AH$6:$AH$7,0)-1)</f>
        <v>86.582615170438231</v>
      </c>
      <c r="R79">
        <v>62.492164292987866</v>
      </c>
      <c r="S79">
        <f>INDEX(AF79:AN79,0,MATCH(Dashboard!$E$15,Lists!$AF$6:$AF$8,0)+3)</f>
        <v>99.140426787470744</v>
      </c>
      <c r="U79" t="s">
        <v>58</v>
      </c>
      <c r="V79">
        <v>3694.9431199999995</v>
      </c>
      <c r="W79">
        <v>3789.7417799999998</v>
      </c>
      <c r="X79">
        <v>3668.4876799999997</v>
      </c>
      <c r="Y79">
        <f ca="1">OFFSET(AT79,0,MATCH(Dashboard!$E$19,Lists!$AH$6:$AH$7,0)-1)</f>
        <v>4032.2499799999996</v>
      </c>
      <c r="Z79">
        <v>3765.4909599999996</v>
      </c>
      <c r="AA79">
        <f>INDEX(AF79:AN79,0,MATCH(Dashboard!$E$15,Lists!$AF$6:$AF$8,0)+6)</f>
        <v>3882.3358199999998</v>
      </c>
      <c r="AD79">
        <f t="shared" si="3"/>
        <v>0.74299999999999999</v>
      </c>
      <c r="AF79">
        <v>25005.076300000001</v>
      </c>
      <c r="AG79">
        <v>30919.330399999999</v>
      </c>
      <c r="AH79">
        <v>39968.537499999999</v>
      </c>
      <c r="AI79">
        <v>99.140426787470744</v>
      </c>
      <c r="AJ79">
        <v>92.495443713930442</v>
      </c>
      <c r="AK79">
        <v>81.185753655390982</v>
      </c>
      <c r="AL79">
        <v>3882.3358199999998</v>
      </c>
      <c r="AM79">
        <v>4299.009</v>
      </c>
      <c r="AN79">
        <v>4940.5534199999993</v>
      </c>
      <c r="AP79">
        <v>22820.1541</v>
      </c>
      <c r="AQ79">
        <v>26295.116999999998</v>
      </c>
      <c r="AR79">
        <v>82.185797771930524</v>
      </c>
      <c r="AS79">
        <v>86.582615170438231</v>
      </c>
      <c r="AT79">
        <v>3836.0387999999998</v>
      </c>
      <c r="AU79">
        <v>4032.2499799999996</v>
      </c>
    </row>
    <row r="80" spans="5:47" x14ac:dyDescent="0.45">
      <c r="E80" t="s">
        <v>56</v>
      </c>
      <c r="F80">
        <v>20383.873100000001</v>
      </c>
      <c r="G80">
        <v>22625.355899999999</v>
      </c>
      <c r="H80">
        <v>22326.333699999999</v>
      </c>
      <c r="I80">
        <f ca="1">OFFSET(AP80,0,MATCH(Dashboard!$E$19,Lists!$AH$6:$AH$7,0)-1)</f>
        <v>28991.735700000001</v>
      </c>
      <c r="J80">
        <v>24961.313900000001</v>
      </c>
      <c r="K80">
        <f>INDEX(AF80:AH80,0,MATCH(Dashboard!$E$15,Lists!$AF$6:$AF$8,0))</f>
        <v>28597.6924</v>
      </c>
      <c r="M80" t="s">
        <v>56</v>
      </c>
      <c r="N80">
        <v>24.990111875419224</v>
      </c>
      <c r="O80">
        <v>28.607864231766889</v>
      </c>
      <c r="P80">
        <v>35.55413746732232</v>
      </c>
      <c r="Q80">
        <f ca="1">OFFSET(AR80,0,MATCH(Dashboard!$E$19,Lists!$AH$6:$AH$7,0)-1)</f>
        <v>75.411799051356198</v>
      </c>
      <c r="R80">
        <v>54.230005234268368</v>
      </c>
      <c r="S80">
        <f>INDEX(AF80:AN80,0,MATCH(Dashboard!$E$15,Lists!$AF$6:$AF$8,0)+3)</f>
        <v>84.667114732431671</v>
      </c>
      <c r="U80" t="s">
        <v>56</v>
      </c>
      <c r="V80">
        <v>3807.3787399999997</v>
      </c>
      <c r="W80">
        <v>3899.9727799999996</v>
      </c>
      <c r="X80">
        <v>3805.1741199999997</v>
      </c>
      <c r="Y80">
        <f ca="1">OFFSET(AT80,0,MATCH(Dashboard!$E$19,Lists!$AH$6:$AH$7,0)-1)</f>
        <v>4213.0288199999995</v>
      </c>
      <c r="Z80">
        <v>3930.8374599999997</v>
      </c>
      <c r="AA80">
        <f>INDEX(AF80:AN80,0,MATCH(Dashboard!$E$15,Lists!$AF$6:$AF$8,0)+6)</f>
        <v>4098.3885799999998</v>
      </c>
      <c r="AD80">
        <f t="shared" si="3"/>
        <v>0.74299999999999999</v>
      </c>
      <c r="AF80">
        <v>28597.6924</v>
      </c>
      <c r="AG80">
        <v>35477.538399999998</v>
      </c>
      <c r="AH80">
        <v>45853.693800000001</v>
      </c>
      <c r="AI80">
        <v>84.667114732431671</v>
      </c>
      <c r="AJ80">
        <v>79.126621438130883</v>
      </c>
      <c r="AK80">
        <v>69.883740839042858</v>
      </c>
      <c r="AL80">
        <v>4098.3885799999998</v>
      </c>
      <c r="AM80">
        <v>4583.4049799999993</v>
      </c>
      <c r="AN80">
        <v>5317.5434399999995</v>
      </c>
      <c r="AP80">
        <v>25386.244500000001</v>
      </c>
      <c r="AQ80">
        <v>28991.735700000001</v>
      </c>
      <c r="AR80">
        <v>71.390681683639912</v>
      </c>
      <c r="AS80">
        <v>75.411799051356198</v>
      </c>
      <c r="AT80">
        <v>4005.7945399999994</v>
      </c>
      <c r="AU80">
        <v>4213.0288199999995</v>
      </c>
    </row>
    <row r="81" spans="5:47" x14ac:dyDescent="0.45">
      <c r="E81" t="s">
        <v>59</v>
      </c>
      <c r="F81">
        <v>22432.3465</v>
      </c>
      <c r="G81">
        <v>24651.0429</v>
      </c>
      <c r="H81">
        <v>24356.268100000001</v>
      </c>
      <c r="I81">
        <f ca="1">OFFSET(AP81,0,MATCH(Dashboard!$E$19,Lists!$AH$6:$AH$7,0)-1)</f>
        <v>31553.8249</v>
      </c>
      <c r="J81">
        <v>26997.6512</v>
      </c>
      <c r="K81">
        <f>INDEX(AF81:AH81,0,MATCH(Dashboard!$E$15,Lists!$AF$6:$AF$8,0))</f>
        <v>31582.065299999998</v>
      </c>
      <c r="M81" t="s">
        <v>59</v>
      </c>
      <c r="N81">
        <v>24.399515462100069</v>
      </c>
      <c r="O81">
        <v>27.598300638937282</v>
      </c>
      <c r="P81">
        <v>31.740516891630033</v>
      </c>
      <c r="Q81">
        <f ca="1">OFFSET(AR81,0,MATCH(Dashboard!$E$19,Lists!$AH$6:$AH$7,0)-1)</f>
        <v>70.128323201986817</v>
      </c>
      <c r="R81">
        <v>50.9875459203463</v>
      </c>
      <c r="S81">
        <f>INDEX(AF81:AN81,0,MATCH(Dashboard!$E$15,Lists!$AF$6:$AF$8,0)+3)</f>
        <v>78.307637419269909</v>
      </c>
      <c r="U81" t="s">
        <v>59</v>
      </c>
      <c r="V81">
        <v>3899.9727799999996</v>
      </c>
      <c r="W81">
        <v>3999.1806799999995</v>
      </c>
      <c r="X81">
        <v>3944.0651799999996</v>
      </c>
      <c r="Y81">
        <f ca="1">OFFSET(AT81,0,MATCH(Dashboard!$E$19,Lists!$AH$6:$AH$7,0)-1)</f>
        <v>4384.9891799999996</v>
      </c>
      <c r="Z81">
        <v>4045.4776999999995</v>
      </c>
      <c r="AA81">
        <f>INDEX(AF81:AN81,0,MATCH(Dashboard!$E$15,Lists!$AF$6:$AF$8,0)+6)</f>
        <v>4272.5535599999994</v>
      </c>
      <c r="AD81">
        <f t="shared" si="3"/>
        <v>0.74299999999999999</v>
      </c>
      <c r="AF81">
        <v>31582.065299999998</v>
      </c>
      <c r="AG81">
        <v>38941.216500000002</v>
      </c>
      <c r="AH81">
        <v>49966.317999999999</v>
      </c>
      <c r="AI81">
        <v>78.307637419269909</v>
      </c>
      <c r="AJ81">
        <v>73.297017701764801</v>
      </c>
      <c r="AK81">
        <v>64.968228203698587</v>
      </c>
      <c r="AL81">
        <v>4272.5535599999994</v>
      </c>
      <c r="AM81">
        <v>4792.8438799999994</v>
      </c>
      <c r="AN81">
        <v>5571.0747399999991</v>
      </c>
      <c r="AP81">
        <v>27712.118900000001</v>
      </c>
      <c r="AQ81">
        <v>31553.8249</v>
      </c>
      <c r="AR81">
        <v>66.851636027226377</v>
      </c>
      <c r="AS81">
        <v>70.128323201986817</v>
      </c>
      <c r="AT81">
        <v>4157.9133199999997</v>
      </c>
      <c r="AU81">
        <v>4384.9891799999996</v>
      </c>
    </row>
    <row r="82" spans="5:47" x14ac:dyDescent="0.45">
      <c r="E82" t="s">
        <v>60</v>
      </c>
      <c r="F82">
        <v>25008.423599999998</v>
      </c>
      <c r="G82">
        <v>28224.347399999999</v>
      </c>
      <c r="H82">
        <v>28615.450199999999</v>
      </c>
      <c r="I82">
        <f ca="1">OFFSET(AP82,0,MATCH(Dashboard!$E$19,Lists!$AH$6:$AH$7,0)-1)</f>
        <v>36084.112399999998</v>
      </c>
      <c r="J82">
        <v>32525.4169</v>
      </c>
      <c r="K82">
        <f>INDEX(AF82:AH82,0,MATCH(Dashboard!$E$15,Lists!$AF$6:$AF$8,0))</f>
        <v>35993.288200000003</v>
      </c>
      <c r="M82" t="s">
        <v>60</v>
      </c>
      <c r="N82">
        <v>19.622429710614757</v>
      </c>
      <c r="O82">
        <v>22.800165149117049</v>
      </c>
      <c r="P82">
        <v>28.120903597009782</v>
      </c>
      <c r="Q82">
        <f ca="1">OFFSET(AR82,0,MATCH(Dashboard!$E$19,Lists!$AH$6:$AH$7,0)-1)</f>
        <v>58.490393566599849</v>
      </c>
      <c r="R82">
        <v>41.413823801549924</v>
      </c>
      <c r="S82">
        <f>INDEX(AF82:AN82,0,MATCH(Dashboard!$E$15,Lists!$AF$6:$AF$8,0)+3)</f>
        <v>66.835247197747222</v>
      </c>
      <c r="U82" t="s">
        <v>60</v>
      </c>
      <c r="V82">
        <v>4437.9000599999999</v>
      </c>
      <c r="W82">
        <v>4556.9495399999996</v>
      </c>
      <c r="X82">
        <v>4435.6954399999995</v>
      </c>
      <c r="Y82">
        <f ca="1">OFFSET(AT82,0,MATCH(Dashboard!$E$19,Lists!$AH$6:$AH$7,0)-1)</f>
        <v>4929.5303199999998</v>
      </c>
      <c r="Z82">
        <v>4698.04522</v>
      </c>
      <c r="AA82">
        <f>INDEX(AF82:AN82,0,MATCH(Dashboard!$E$15,Lists!$AF$6:$AF$8,0)+6)</f>
        <v>4797.2531199999994</v>
      </c>
      <c r="AD82">
        <f t="shared" si="3"/>
        <v>0.74299999999999999</v>
      </c>
      <c r="AF82">
        <v>35993.288200000003</v>
      </c>
      <c r="AG82">
        <v>44628.612399999998</v>
      </c>
      <c r="AH82">
        <v>57517.997799999997</v>
      </c>
      <c r="AI82">
        <v>66.835247197747222</v>
      </c>
      <c r="AJ82">
        <v>62.602890282428042</v>
      </c>
      <c r="AK82">
        <v>55.571769225363276</v>
      </c>
      <c r="AL82">
        <v>4797.2531199999994</v>
      </c>
      <c r="AM82">
        <v>5401.3189999999995</v>
      </c>
      <c r="AN82">
        <v>6305.2131999999992</v>
      </c>
      <c r="AP82">
        <v>31516.5641</v>
      </c>
      <c r="AQ82">
        <v>36084.112399999998</v>
      </c>
      <c r="AR82">
        <v>55.973300816653236</v>
      </c>
      <c r="AS82">
        <v>58.490393566599849</v>
      </c>
      <c r="AT82">
        <v>4664.9759199999999</v>
      </c>
      <c r="AU82">
        <v>4929.5303199999998</v>
      </c>
    </row>
    <row r="83" spans="5:47" x14ac:dyDescent="0.45">
      <c r="E83" t="s">
        <v>119</v>
      </c>
      <c r="F83">
        <v>14938.8812</v>
      </c>
      <c r="G83">
        <v>17225.356100000001</v>
      </c>
      <c r="H83">
        <v>16716.269400000001</v>
      </c>
      <c r="I83">
        <f ca="1">OFFSET(AP83,0,MATCH(Dashboard!$E$19,Lists!$AH$6:$AH$7,0)-1)</f>
        <v>22754.242200000001</v>
      </c>
      <c r="J83">
        <v>19108.9313</v>
      </c>
      <c r="K83">
        <f>INDEX(AF83:AH83,0,MATCH(Dashboard!$E$15,Lists!$AF$6:$AF$8,0))</f>
        <v>21356.006300000001</v>
      </c>
      <c r="M83" t="s">
        <v>119</v>
      </c>
      <c r="N83">
        <v>26.617014145396503</v>
      </c>
      <c r="O83">
        <v>31.077222300406035</v>
      </c>
      <c r="P83">
        <v>39.10879897809086</v>
      </c>
      <c r="Q83">
        <f ca="1">OFFSET(AR83,0,MATCH(Dashboard!$E$19,Lists!$AH$6:$AH$7,0)-1)</f>
        <v>86.783213508751558</v>
      </c>
      <c r="R83">
        <v>62.372449090435822</v>
      </c>
      <c r="S83">
        <f>INDEX(AF83:AN83,0,MATCH(Dashboard!$E$15,Lists!$AF$6:$AF$8,0)+3)</f>
        <v>99.965634183964767</v>
      </c>
      <c r="U83" t="s">
        <v>119</v>
      </c>
      <c r="V83">
        <v>3476.6857399999999</v>
      </c>
      <c r="W83">
        <v>3582.5074999999997</v>
      </c>
      <c r="X83">
        <v>3465.6626399999996</v>
      </c>
      <c r="Y83">
        <f ca="1">OFFSET(AT83,0,MATCH(Dashboard!$E$19,Lists!$AH$6:$AH$7,0)-1)</f>
        <v>3825.0156999999995</v>
      </c>
      <c r="Z83">
        <v>3575.8936399999998</v>
      </c>
      <c r="AA83">
        <f>INDEX(AF83:AN83,0,MATCH(Dashboard!$E$15,Lists!$AF$6:$AF$8,0)+6)</f>
        <v>3664.0784399999998</v>
      </c>
      <c r="AD83">
        <f t="shared" si="3"/>
        <v>0.74299999999999999</v>
      </c>
      <c r="AF83">
        <v>21356.006300000001</v>
      </c>
      <c r="AG83">
        <v>27281.400300000001</v>
      </c>
      <c r="AH83">
        <v>36193.440499999997</v>
      </c>
      <c r="AI83">
        <v>99.965634183964767</v>
      </c>
      <c r="AJ83">
        <v>93.19769704808337</v>
      </c>
      <c r="AK83">
        <v>81.989362263727855</v>
      </c>
      <c r="AL83">
        <v>3664.0784399999998</v>
      </c>
      <c r="AM83">
        <v>4080.7516199999995</v>
      </c>
      <c r="AN83">
        <v>4711.2729399999998</v>
      </c>
      <c r="AP83">
        <v>19293.223000000002</v>
      </c>
      <c r="AQ83">
        <v>22754.242200000001</v>
      </c>
      <c r="AR83">
        <v>82.441117349833206</v>
      </c>
      <c r="AS83">
        <v>86.783213508751558</v>
      </c>
      <c r="AT83">
        <v>3631.0091399999997</v>
      </c>
      <c r="AU83">
        <v>3825.0156999999995</v>
      </c>
    </row>
    <row r="84" spans="5:47" x14ac:dyDescent="0.45">
      <c r="E84" t="s">
        <v>120</v>
      </c>
      <c r="F84">
        <v>19785.1525</v>
      </c>
      <c r="G84">
        <v>23064.2536</v>
      </c>
      <c r="H84">
        <v>22173.8881</v>
      </c>
      <c r="I84">
        <f ca="1">OFFSET(AP84,0,MATCH(Dashboard!$E$19,Lists!$AH$6:$AH$7,0)-1)</f>
        <v>28525.010399999999</v>
      </c>
      <c r="J84">
        <v>26247.344400000002</v>
      </c>
      <c r="K84">
        <f>INDEX(AF84:AH84,0,MATCH(Dashboard!$E$15,Lists!$AF$6:$AF$8,0))</f>
        <v>26210.275799999999</v>
      </c>
      <c r="M84" t="s">
        <v>120</v>
      </c>
      <c r="N84">
        <v>21.862016366699244</v>
      </c>
      <c r="O84">
        <v>26.897517289643591</v>
      </c>
      <c r="P84">
        <v>34.887779260134693</v>
      </c>
      <c r="Q84">
        <f ca="1">OFFSET(AR84,0,MATCH(Dashboard!$E$19,Lists!$AH$6:$AH$7,0)-1)</f>
        <v>79.851306907461961</v>
      </c>
      <c r="R84">
        <v>54.418345436130622</v>
      </c>
      <c r="S84">
        <f>INDEX(AF84:AN84,0,MATCH(Dashboard!$E$15,Lists!$AF$6:$AF$8,0)+3)</f>
        <v>94.291158159698227</v>
      </c>
      <c r="U84" t="s">
        <v>120</v>
      </c>
      <c r="V84">
        <v>3961.7021399999994</v>
      </c>
      <c r="W84">
        <v>4091.7747199999994</v>
      </c>
      <c r="X84">
        <v>3922.0189799999998</v>
      </c>
      <c r="Y84">
        <f ca="1">OFFSET(AT84,0,MATCH(Dashboard!$E$19,Lists!$AH$6:$AH$7,0)-1)</f>
        <v>4299.009</v>
      </c>
      <c r="Z84">
        <v>4153.5040799999997</v>
      </c>
      <c r="AA84">
        <f>INDEX(AF84:AN84,0,MATCH(Dashboard!$E$15,Lists!$AF$6:$AF$8,0)+6)</f>
        <v>4058.7054199999998</v>
      </c>
      <c r="AD84">
        <f t="shared" si="3"/>
        <v>0.74299999999999999</v>
      </c>
      <c r="AF84">
        <v>26210.275799999999</v>
      </c>
      <c r="AG84">
        <v>32559.5936</v>
      </c>
      <c r="AH84">
        <v>42093.440799999997</v>
      </c>
      <c r="AI84">
        <v>94.291158159698227</v>
      </c>
      <c r="AJ84">
        <v>87.826001771201774</v>
      </c>
      <c r="AK84">
        <v>77.109987642592912</v>
      </c>
      <c r="AL84">
        <v>4058.7054199999998</v>
      </c>
      <c r="AM84">
        <v>4501.8340399999997</v>
      </c>
      <c r="AN84">
        <v>5172.0385199999992</v>
      </c>
      <c r="AP84">
        <v>24753.964199999999</v>
      </c>
      <c r="AQ84">
        <v>28525.010399999999</v>
      </c>
      <c r="AR84">
        <v>75.842755580672673</v>
      </c>
      <c r="AS84">
        <v>79.851306907461961</v>
      </c>
      <c r="AT84">
        <v>4093.9793399999994</v>
      </c>
      <c r="AU84">
        <v>4299.009</v>
      </c>
    </row>
    <row r="85" spans="5:47" x14ac:dyDescent="0.45">
      <c r="E85" t="s">
        <v>121</v>
      </c>
      <c r="F85">
        <v>20974.3557</v>
      </c>
      <c r="G85">
        <v>24313.979599999999</v>
      </c>
      <c r="H85">
        <v>23780.968199999999</v>
      </c>
      <c r="I85">
        <f ca="1">OFFSET(AP85,0,MATCH(Dashboard!$E$19,Lists!$AH$6:$AH$7,0)-1)</f>
        <v>30690.980899999999</v>
      </c>
      <c r="J85">
        <v>27427.973600000001</v>
      </c>
      <c r="K85">
        <f>INDEX(AF85:AH85,0,MATCH(Dashboard!$E$15,Lists!$AF$6:$AF$8,0))</f>
        <v>29609.202399999998</v>
      </c>
      <c r="M85" t="s">
        <v>121</v>
      </c>
      <c r="N85">
        <v>22.393498430881486</v>
      </c>
      <c r="O85">
        <v>26.507570111228571</v>
      </c>
      <c r="P85">
        <v>32.714971948483431</v>
      </c>
      <c r="Q85">
        <f ca="1">OFFSET(AR85,0,MATCH(Dashboard!$E$19,Lists!$AH$6:$AH$7,0)-1)</f>
        <v>70.677124552681605</v>
      </c>
      <c r="R85">
        <v>49.774662857209677</v>
      </c>
      <c r="S85">
        <f>INDEX(AF85:AN85,0,MATCH(Dashboard!$E$15,Lists!$AF$6:$AF$8,0)+3)</f>
        <v>81.572700388758605</v>
      </c>
      <c r="U85" t="s">
        <v>121</v>
      </c>
      <c r="V85">
        <v>4109.4116799999993</v>
      </c>
      <c r="W85">
        <v>4217.4380599999995</v>
      </c>
      <c r="X85">
        <v>4113.8209199999992</v>
      </c>
      <c r="Y85">
        <f ca="1">OFFSET(AT85,0,MATCH(Dashboard!$E$19,Lists!$AH$6:$AH$7,0)-1)</f>
        <v>4537.1079599999994</v>
      </c>
      <c r="Z85">
        <v>4296.8043799999996</v>
      </c>
      <c r="AA85">
        <f>INDEX(AF85:AN85,0,MATCH(Dashboard!$E$15,Lists!$AF$6:$AF$8,0)+6)</f>
        <v>4340.89678</v>
      </c>
      <c r="AD85">
        <f t="shared" si="3"/>
        <v>0.74299999999999999</v>
      </c>
      <c r="AF85">
        <v>29609.202399999998</v>
      </c>
      <c r="AG85">
        <v>36853.752899999999</v>
      </c>
      <c r="AH85">
        <v>47761.502200000003</v>
      </c>
      <c r="AI85">
        <v>81.572700388758605</v>
      </c>
      <c r="AJ85">
        <v>76.085439874071795</v>
      </c>
      <c r="AK85">
        <v>67.019186335919329</v>
      </c>
      <c r="AL85">
        <v>4340.89678</v>
      </c>
      <c r="AM85">
        <v>4850.1639999999998</v>
      </c>
      <c r="AN85">
        <v>5615.1671399999996</v>
      </c>
      <c r="AP85">
        <v>26796.656599999998</v>
      </c>
      <c r="AQ85">
        <v>30690.980899999999</v>
      </c>
      <c r="AR85">
        <v>66.615599817470624</v>
      </c>
      <c r="AS85">
        <v>70.677124552681605</v>
      </c>
      <c r="AT85">
        <v>4314.4413399999994</v>
      </c>
      <c r="AU85">
        <v>4537.1079599999994</v>
      </c>
    </row>
    <row r="86" spans="5:47" x14ac:dyDescent="0.45">
      <c r="E86" t="s">
        <v>122</v>
      </c>
      <c r="F86">
        <v>23582.906999999999</v>
      </c>
      <c r="G86">
        <v>26748.409100000001</v>
      </c>
      <c r="H86">
        <v>26437.2415</v>
      </c>
      <c r="I86">
        <f ca="1">OFFSET(AP86,0,MATCH(Dashboard!$E$19,Lists!$AH$6:$AH$7,0)-1)</f>
        <v>33975.184999999998</v>
      </c>
      <c r="J86">
        <v>30824.983400000001</v>
      </c>
      <c r="K86">
        <f>INDEX(AF86:AH86,0,MATCH(Dashboard!$E$15,Lists!$AF$6:$AF$8,0))</f>
        <v>33329.466099999998</v>
      </c>
      <c r="M86" t="s">
        <v>122</v>
      </c>
      <c r="N86">
        <v>20.60786600531279</v>
      </c>
      <c r="O86">
        <v>24.31964268409358</v>
      </c>
      <c r="P86">
        <v>30.164218080521355</v>
      </c>
      <c r="Q86">
        <f ca="1">OFFSET(AR86,0,MATCH(Dashboard!$E$19,Lists!$AH$6:$AH$7,0)-1)</f>
        <v>64.017920857533269</v>
      </c>
      <c r="R86">
        <v>44.870977365018938</v>
      </c>
      <c r="S86">
        <f>INDEX(AF86:AN86,0,MATCH(Dashboard!$E$15,Lists!$AF$6:$AF$8,0)+3)</f>
        <v>73.599262849179979</v>
      </c>
      <c r="U86" t="s">
        <v>122</v>
      </c>
      <c r="V86">
        <v>4484.1970799999999</v>
      </c>
      <c r="W86">
        <v>4605.45118</v>
      </c>
      <c r="X86">
        <v>4508.4478999999992</v>
      </c>
      <c r="Y86">
        <f ca="1">OFFSET(AT86,0,MATCH(Dashboard!$E$19,Lists!$AH$6:$AH$7,0)-1)</f>
        <v>4973.6227199999994</v>
      </c>
      <c r="Z86">
        <v>4748.7514799999999</v>
      </c>
      <c r="AA86">
        <f>INDEX(AF86:AN86,0,MATCH(Dashboard!$E$15,Lists!$AF$6:$AF$8,0)+6)</f>
        <v>4797.2531199999994</v>
      </c>
      <c r="AD86">
        <f t="shared" si="3"/>
        <v>0.74299999999999999</v>
      </c>
      <c r="AF86">
        <v>33329.466099999998</v>
      </c>
      <c r="AG86">
        <v>41336.076099999998</v>
      </c>
      <c r="AH86">
        <v>53400.210800000001</v>
      </c>
      <c r="AI86">
        <v>73.599262849179979</v>
      </c>
      <c r="AJ86">
        <v>68.691717369954475</v>
      </c>
      <c r="AK86">
        <v>60.542213044667648</v>
      </c>
      <c r="AL86">
        <v>4797.2531199999994</v>
      </c>
      <c r="AM86">
        <v>5359.4312199999995</v>
      </c>
      <c r="AN86">
        <v>6206.0052999999998</v>
      </c>
      <c r="AP86">
        <v>29710.526900000001</v>
      </c>
      <c r="AQ86">
        <v>33975.184999999998</v>
      </c>
      <c r="AR86">
        <v>60.388454217782609</v>
      </c>
      <c r="AS86">
        <v>64.017920857533269</v>
      </c>
      <c r="AT86">
        <v>4728.9098999999997</v>
      </c>
      <c r="AU86">
        <v>4973.6227199999994</v>
      </c>
    </row>
    <row r="87" spans="5:47" x14ac:dyDescent="0.45">
      <c r="E87" t="s">
        <v>123</v>
      </c>
      <c r="F87">
        <v>25273.712200000002</v>
      </c>
      <c r="G87">
        <v>28607.067599999998</v>
      </c>
      <c r="H87">
        <v>29765.212800000001</v>
      </c>
      <c r="I87">
        <f ca="1">OFFSET(AP87,0,MATCH(Dashboard!$E$19,Lists!$AH$6:$AH$7,0)-1)</f>
        <v>37201.743799999997</v>
      </c>
      <c r="J87">
        <v>34097.517899999999</v>
      </c>
      <c r="K87">
        <f>INDEX(AF87:AH87,0,MATCH(Dashboard!$E$15,Lists!$AF$6:$AF$8,0))</f>
        <v>37450.490899999997</v>
      </c>
      <c r="M87" t="s">
        <v>123</v>
      </c>
      <c r="N87">
        <v>18.149493716381173</v>
      </c>
      <c r="O87">
        <v>21.198503966591293</v>
      </c>
      <c r="P87">
        <v>26.075473051029135</v>
      </c>
      <c r="Q87">
        <f ca="1">OFFSET(AR87,0,MATCH(Dashboard!$E$19,Lists!$AH$6:$AH$7,0)-1)</f>
        <v>54.63080461246129</v>
      </c>
      <c r="R87">
        <v>38.54293163319894</v>
      </c>
      <c r="S87">
        <f>INDEX(AF87:AN87,0,MATCH(Dashboard!$E$15,Lists!$AF$6:$AF$8,0)+3)</f>
        <v>62.467491515402948</v>
      </c>
      <c r="U87" t="s">
        <v>123</v>
      </c>
      <c r="V87">
        <v>5079.4444799999992</v>
      </c>
      <c r="W87">
        <v>5231.5632599999999</v>
      </c>
      <c r="X87">
        <v>5046.37518</v>
      </c>
      <c r="Y87">
        <f ca="1">OFFSET(AT87,0,MATCH(Dashboard!$E$19,Lists!$AH$6:$AH$7,0)-1)</f>
        <v>5562.2562599999992</v>
      </c>
      <c r="Z87">
        <v>5388.0912799999996</v>
      </c>
      <c r="AA87">
        <f>INDEX(AF87:AN87,0,MATCH(Dashboard!$E$15,Lists!$AF$6:$AF$8,0)+6)</f>
        <v>5463.0483599999998</v>
      </c>
      <c r="AD87">
        <f t="shared" si="3"/>
        <v>0.74299999999999999</v>
      </c>
      <c r="AF87">
        <v>37450.490899999997</v>
      </c>
      <c r="AG87">
        <v>46765.290200000003</v>
      </c>
      <c r="AH87">
        <v>60862.765200000002</v>
      </c>
      <c r="AI87">
        <v>62.467491515402948</v>
      </c>
      <c r="AJ87">
        <v>58.421000665053704</v>
      </c>
      <c r="AK87">
        <v>51.622039426641351</v>
      </c>
      <c r="AL87">
        <v>5463.0483599999998</v>
      </c>
      <c r="AM87">
        <v>6117.8204999999998</v>
      </c>
      <c r="AN87">
        <v>7105.4902599999996</v>
      </c>
      <c r="AP87">
        <v>32358.144100000001</v>
      </c>
      <c r="AQ87">
        <v>37201.743799999997</v>
      </c>
      <c r="AR87">
        <v>51.970211582672391</v>
      </c>
      <c r="AS87">
        <v>54.63080461246129</v>
      </c>
      <c r="AT87">
        <v>5280.0648999999994</v>
      </c>
      <c r="AU87">
        <v>5562.2562599999992</v>
      </c>
    </row>
    <row r="88" spans="5:47" x14ac:dyDescent="0.45">
      <c r="E88" t="s">
        <v>115</v>
      </c>
      <c r="G88">
        <v>146084.30176335288</v>
      </c>
      <c r="H88">
        <v>155572.52719129357</v>
      </c>
      <c r="I88">
        <v>435321.62106284138</v>
      </c>
      <c r="J88">
        <v>288938.6120832481</v>
      </c>
      <c r="K88">
        <v>693353.95305699483</v>
      </c>
      <c r="L88" s="76"/>
      <c r="M88" t="s">
        <v>115</v>
      </c>
      <c r="O88">
        <v>7.1680272128054066</v>
      </c>
      <c r="P88">
        <v>7.0695094656986006</v>
      </c>
      <c r="Q88">
        <v>6.7916031118018187</v>
      </c>
      <c r="R88">
        <v>7.175209976955653</v>
      </c>
      <c r="S88">
        <v>12.595701126859925</v>
      </c>
      <c r="U88" t="s">
        <v>115</v>
      </c>
      <c r="W88">
        <v>66698.498531824924</v>
      </c>
      <c r="X88">
        <v>66988.92349822681</v>
      </c>
      <c r="Y88">
        <v>74260.922289024442</v>
      </c>
      <c r="Z88">
        <v>68535.77569064546</v>
      </c>
      <c r="AA88">
        <v>77412.326742724981</v>
      </c>
      <c r="AC88">
        <v>38403.745600153998</v>
      </c>
      <c r="AD88">
        <v>0.26846377248223086</v>
      </c>
    </row>
    <row r="89" spans="5:47" x14ac:dyDescent="0.45">
      <c r="E89" t="s">
        <v>116</v>
      </c>
      <c r="G89">
        <v>123704.32940832671</v>
      </c>
      <c r="H89">
        <v>132297.19403455663</v>
      </c>
      <c r="I89">
        <v>276542.44891444396</v>
      </c>
      <c r="J89">
        <v>248147.27088126598</v>
      </c>
      <c r="K89">
        <v>398444.4079402861</v>
      </c>
      <c r="L89" s="76"/>
      <c r="M89" t="s">
        <v>116</v>
      </c>
      <c r="O89">
        <v>6.6458875484246454</v>
      </c>
      <c r="P89">
        <v>6.635208088924534</v>
      </c>
      <c r="Q89">
        <v>6.850717434423645</v>
      </c>
      <c r="R89">
        <v>6.8110511619421041</v>
      </c>
      <c r="S89">
        <v>12.909716594182454</v>
      </c>
      <c r="U89" t="s">
        <v>116</v>
      </c>
      <c r="W89">
        <v>64511.149082458331</v>
      </c>
      <c r="X89">
        <v>64769.028203899281</v>
      </c>
      <c r="Y89">
        <v>68731.801822500522</v>
      </c>
      <c r="Z89">
        <v>65112.755699584559</v>
      </c>
      <c r="AA89">
        <v>68528.157550742078</v>
      </c>
      <c r="AC89">
        <v>38287.635539999996</v>
      </c>
      <c r="AD89">
        <v>0.32766027410252863</v>
      </c>
    </row>
    <row r="90" spans="5:47" x14ac:dyDescent="0.45">
      <c r="E90" t="s">
        <v>117</v>
      </c>
      <c r="G90">
        <v>98112.924097701165</v>
      </c>
      <c r="H90">
        <v>108339.61096050173</v>
      </c>
      <c r="I90">
        <v>209357.24504553457</v>
      </c>
      <c r="J90">
        <v>167628.06932234025</v>
      </c>
      <c r="K90">
        <v>294292.91786447173</v>
      </c>
      <c r="L90" s="76"/>
      <c r="M90" t="s">
        <v>117</v>
      </c>
      <c r="O90">
        <v>7.4941622955115843</v>
      </c>
      <c r="P90">
        <v>8.6455673662085015</v>
      </c>
      <c r="Q90">
        <v>12.171009476406905</v>
      </c>
      <c r="R90">
        <v>10.100173990136655</v>
      </c>
      <c r="S90">
        <v>18.921346722272006</v>
      </c>
      <c r="U90" t="s">
        <v>117</v>
      </c>
      <c r="W90">
        <v>41083.565164477557</v>
      </c>
      <c r="X90">
        <v>41434.665576233128</v>
      </c>
      <c r="Y90">
        <v>45202.47872834748</v>
      </c>
      <c r="Z90">
        <v>41980.249139262873</v>
      </c>
      <c r="AA90">
        <v>44763.418412961291</v>
      </c>
      <c r="AC90">
        <v>15259.056867999998</v>
      </c>
      <c r="AD90">
        <v>0.59319383116139757</v>
      </c>
    </row>
    <row r="91" spans="5:47" x14ac:dyDescent="0.45">
      <c r="E91" t="s">
        <v>124</v>
      </c>
      <c r="G91">
        <v>73831.417413025367</v>
      </c>
      <c r="H91">
        <v>84003.267364318614</v>
      </c>
      <c r="I91">
        <v>137698.80668760245</v>
      </c>
      <c r="J91">
        <v>127973.4429755586</v>
      </c>
      <c r="K91">
        <v>177682.68179309275</v>
      </c>
      <c r="L91" s="76"/>
      <c r="M91" t="s">
        <v>124</v>
      </c>
      <c r="O91">
        <v>10.934588261334536</v>
      </c>
      <c r="P91">
        <v>12.36050069425799</v>
      </c>
      <c r="Q91">
        <v>18.996959160053052</v>
      </c>
      <c r="R91">
        <v>15.796310145365487</v>
      </c>
      <c r="S91">
        <v>29.718717383400499</v>
      </c>
      <c r="U91" t="s">
        <v>124</v>
      </c>
      <c r="W91">
        <v>22966.54764315638</v>
      </c>
      <c r="X91">
        <v>23375.627603533452</v>
      </c>
      <c r="Y91">
        <v>25884.691176504715</v>
      </c>
      <c r="Z91">
        <v>23436.240602583333</v>
      </c>
      <c r="AA91">
        <v>24476.177294246907</v>
      </c>
      <c r="AC91">
        <v>11356.597938025998</v>
      </c>
      <c r="AD91">
        <v>0.66477673475622345</v>
      </c>
    </row>
    <row r="92" spans="5:47" x14ac:dyDescent="0.45">
      <c r="E92" t="s">
        <v>125</v>
      </c>
      <c r="G92">
        <v>59598.614384097891</v>
      </c>
      <c r="H92">
        <v>66966.905009501352</v>
      </c>
      <c r="I92">
        <v>94652.894096847667</v>
      </c>
      <c r="J92">
        <v>98613.916838702979</v>
      </c>
      <c r="K92">
        <v>120865.29445337753</v>
      </c>
      <c r="L92" s="76"/>
      <c r="M92" t="s">
        <v>125</v>
      </c>
      <c r="O92">
        <v>13.764308429133569</v>
      </c>
      <c r="P92">
        <v>17.037521426202527</v>
      </c>
      <c r="Q92">
        <v>25.200896807438205</v>
      </c>
      <c r="R92">
        <v>25.068887141423343</v>
      </c>
      <c r="S92">
        <v>47.180185913744594</v>
      </c>
      <c r="U92" t="s">
        <v>125</v>
      </c>
      <c r="W92">
        <v>15013.225177561995</v>
      </c>
      <c r="X92">
        <v>13780.888971056725</v>
      </c>
      <c r="Y92">
        <v>15241.738869710609</v>
      </c>
      <c r="Z92">
        <v>13267.281745191302</v>
      </c>
      <c r="AA92">
        <v>13994.156117514591</v>
      </c>
      <c r="AC92">
        <v>6096.2961335539994</v>
      </c>
      <c r="AD92">
        <v>0.60130158028332759</v>
      </c>
    </row>
    <row r="93" spans="5:47" x14ac:dyDescent="0.45">
      <c r="E93" t="s">
        <v>118</v>
      </c>
      <c r="L93" s="76"/>
      <c r="M93" t="s">
        <v>118</v>
      </c>
      <c r="U93" t="s">
        <v>118</v>
      </c>
      <c r="AD93">
        <v>0</v>
      </c>
    </row>
    <row r="94" spans="5:47" x14ac:dyDescent="0.45">
      <c r="E94" t="s">
        <v>138</v>
      </c>
      <c r="L94" s="76"/>
      <c r="M94" t="s">
        <v>138</v>
      </c>
      <c r="U94" t="s">
        <v>138</v>
      </c>
      <c r="AD94">
        <v>0</v>
      </c>
    </row>
    <row r="97" spans="5:47" x14ac:dyDescent="0.45">
      <c r="E97" t="s">
        <v>128</v>
      </c>
      <c r="F97" t="s">
        <v>42</v>
      </c>
      <c r="G97" t="s">
        <v>43</v>
      </c>
      <c r="H97" t="s">
        <v>427</v>
      </c>
      <c r="I97" t="s">
        <v>44</v>
      </c>
      <c r="J97" t="s">
        <v>45</v>
      </c>
      <c r="K97" t="s">
        <v>46</v>
      </c>
      <c r="M97" t="s">
        <v>128</v>
      </c>
      <c r="N97" t="s">
        <v>42</v>
      </c>
      <c r="O97" t="s">
        <v>43</v>
      </c>
      <c r="P97" t="s">
        <v>427</v>
      </c>
      <c r="Q97" t="s">
        <v>44</v>
      </c>
      <c r="R97" t="s">
        <v>45</v>
      </c>
      <c r="S97" t="s">
        <v>46</v>
      </c>
      <c r="U97" t="s">
        <v>128</v>
      </c>
      <c r="V97" t="s">
        <v>42</v>
      </c>
      <c r="W97" t="s">
        <v>43</v>
      </c>
      <c r="X97" t="s">
        <v>427</v>
      </c>
      <c r="Y97" t="s">
        <v>44</v>
      </c>
      <c r="Z97" t="s">
        <v>45</v>
      </c>
      <c r="AA97" t="s">
        <v>46</v>
      </c>
      <c r="AC97" t="s">
        <v>464</v>
      </c>
      <c r="AD97" t="s">
        <v>234</v>
      </c>
      <c r="AF97" t="s">
        <v>164</v>
      </c>
      <c r="AG97" t="s">
        <v>165</v>
      </c>
      <c r="AH97" t="s">
        <v>166</v>
      </c>
      <c r="AI97" t="s">
        <v>167</v>
      </c>
      <c r="AJ97" t="s">
        <v>168</v>
      </c>
      <c r="AK97" t="s">
        <v>169</v>
      </c>
      <c r="AL97" t="s">
        <v>418</v>
      </c>
      <c r="AM97" t="s">
        <v>419</v>
      </c>
      <c r="AN97" t="s">
        <v>420</v>
      </c>
      <c r="AP97" t="s">
        <v>173</v>
      </c>
      <c r="AQ97" t="s">
        <v>174</v>
      </c>
      <c r="AR97" t="s">
        <v>176</v>
      </c>
      <c r="AS97" t="s">
        <v>175</v>
      </c>
      <c r="AT97" t="s">
        <v>416</v>
      </c>
      <c r="AU97" t="s">
        <v>417</v>
      </c>
    </row>
    <row r="98" spans="5:47" x14ac:dyDescent="0.45">
      <c r="E98" t="s">
        <v>57</v>
      </c>
      <c r="F98">
        <v>15198.0093</v>
      </c>
      <c r="G98">
        <v>16568.8063</v>
      </c>
      <c r="H98">
        <v>15642.0263</v>
      </c>
      <c r="I98">
        <f ca="1">OFFSET(AP98,0,MATCH(Dashboard!$E$19,Lists!$AH$6:$AH$7,0)-1)</f>
        <v>18951.899600000001</v>
      </c>
      <c r="J98">
        <v>17110.975600000002</v>
      </c>
      <c r="K98">
        <f>INDEX(AF98:AH98,0,MATCH(Dashboard!$E$15,Lists!$AF$6:$AF$8,0))</f>
        <v>18189.173699999999</v>
      </c>
      <c r="M98" t="s">
        <v>57</v>
      </c>
      <c r="N98">
        <v>34.770406748879502</v>
      </c>
      <c r="O98">
        <v>37.082660546987213</v>
      </c>
      <c r="P98">
        <v>42.1777999020129</v>
      </c>
      <c r="Q98">
        <f ca="1">OFFSET(AR98,0,MATCH(Dashboard!$E$19,Lists!$AH$6:$AH$7,0)-1)</f>
        <v>93.942395995578877</v>
      </c>
      <c r="R98">
        <v>69.596982376521964</v>
      </c>
      <c r="S98">
        <f>INDEX(AF98:AN98,0,MATCH(Dashboard!$E$15,Lists!$AF$6:$AF$8,0)+3)</f>
        <v>108.52774487711271</v>
      </c>
      <c r="U98" t="s">
        <v>57</v>
      </c>
      <c r="V98">
        <v>3183.4712799999998</v>
      </c>
      <c r="W98">
        <v>3293.7022799999995</v>
      </c>
      <c r="X98">
        <v>3203.3128599999995</v>
      </c>
      <c r="Y98">
        <f ca="1">OFFSET(AT98,0,MATCH(Dashboard!$E$19,Lists!$AH$6:$AH$7,0)-1)</f>
        <v>3518.5735199999995</v>
      </c>
      <c r="Z98">
        <v>3256.2237399999999</v>
      </c>
      <c r="AA98">
        <f>INDEX(AF98:AN98,0,MATCH(Dashboard!$E$15,Lists!$AF$6:$AF$8,0)+6)</f>
        <v>3231.9729199999997</v>
      </c>
      <c r="AD98">
        <f t="shared" ref="AD98:AD107" si="4">$AG$14</f>
        <v>0.74299999999999999</v>
      </c>
      <c r="AF98">
        <v>18189.173699999999</v>
      </c>
      <c r="AG98">
        <v>22583.884600000001</v>
      </c>
      <c r="AH98">
        <v>27977.826300000001</v>
      </c>
      <c r="AI98">
        <v>108.52774487711271</v>
      </c>
      <c r="AJ98">
        <v>102.60053385023402</v>
      </c>
      <c r="AK98">
        <v>93.655639571157366</v>
      </c>
      <c r="AL98">
        <v>3231.9729199999997</v>
      </c>
      <c r="AM98">
        <v>3520.7781399999999</v>
      </c>
      <c r="AN98">
        <v>3875.7219599999999</v>
      </c>
      <c r="AP98">
        <v>16477.6263</v>
      </c>
      <c r="AQ98">
        <v>18951.899600000001</v>
      </c>
      <c r="AR98">
        <v>90.01593918131023</v>
      </c>
      <c r="AS98">
        <v>93.942395995578877</v>
      </c>
      <c r="AT98">
        <v>3322.3623399999997</v>
      </c>
      <c r="AU98">
        <v>3518.5735199999995</v>
      </c>
    </row>
    <row r="99" spans="5:47" x14ac:dyDescent="0.45">
      <c r="E99" t="s">
        <v>58</v>
      </c>
      <c r="F99">
        <v>19340.559399999998</v>
      </c>
      <c r="G99">
        <v>20740.978200000001</v>
      </c>
      <c r="H99">
        <v>19954.794399999999</v>
      </c>
      <c r="I99">
        <f ca="1">OFFSET(AP99,0,MATCH(Dashboard!$E$19,Lists!$AH$6:$AH$7,0)-1)</f>
        <v>23365.6646</v>
      </c>
      <c r="J99">
        <v>22051.734199999999</v>
      </c>
      <c r="K99">
        <f>INDEX(AF99:AH99,0,MATCH(Dashboard!$E$15,Lists!$AF$6:$AF$8,0))</f>
        <v>22657.870999999999</v>
      </c>
      <c r="M99" t="s">
        <v>58</v>
      </c>
      <c r="N99">
        <v>31.858576218579955</v>
      </c>
      <c r="O99">
        <v>33.931865853010358</v>
      </c>
      <c r="P99">
        <v>41.449488819263095</v>
      </c>
      <c r="Q99">
        <f ca="1">OFFSET(AR99,0,MATCH(Dashboard!$E$19,Lists!$AH$6:$AH$7,0)-1)</f>
        <v>87.673353960786201</v>
      </c>
      <c r="R99">
        <v>64.243596036210704</v>
      </c>
      <c r="S99">
        <f>INDEX(AF99:AN99,0,MATCH(Dashboard!$E$15,Lists!$AF$6:$AF$8,0)+3)</f>
        <v>102.9850005125389</v>
      </c>
      <c r="U99" t="s">
        <v>58</v>
      </c>
      <c r="V99">
        <v>3633.2137599999996</v>
      </c>
      <c r="W99">
        <v>3736.8308999999995</v>
      </c>
      <c r="X99">
        <v>3604.5536999999995</v>
      </c>
      <c r="Y99">
        <f ca="1">OFFSET(AT99,0,MATCH(Dashboard!$E$19,Lists!$AH$6:$AH$7,0)-1)</f>
        <v>3937.4513199999997</v>
      </c>
      <c r="Z99">
        <v>3694.9431199999995</v>
      </c>
      <c r="AA99">
        <f>INDEX(AF99:AN99,0,MATCH(Dashboard!$E$15,Lists!$AF$6:$AF$8,0)+6)</f>
        <v>3619.9860399999998</v>
      </c>
      <c r="AD99">
        <f t="shared" si="4"/>
        <v>0.74299999999999999</v>
      </c>
      <c r="AF99">
        <v>22657.870999999999</v>
      </c>
      <c r="AG99">
        <v>27105.1603</v>
      </c>
      <c r="AH99">
        <v>33122.370300000002</v>
      </c>
      <c r="AI99">
        <v>102.9850005125389</v>
      </c>
      <c r="AJ99">
        <v>97.520893076655526</v>
      </c>
      <c r="AK99">
        <v>88.380842412882146</v>
      </c>
      <c r="AL99">
        <v>3619.9860399999998</v>
      </c>
      <c r="AM99">
        <v>3913.2004999999995</v>
      </c>
      <c r="AN99">
        <v>4310.0320999999994</v>
      </c>
      <c r="AP99">
        <v>20780.495999999999</v>
      </c>
      <c r="AQ99">
        <v>23365.6646</v>
      </c>
      <c r="AR99">
        <v>84.015726927334725</v>
      </c>
      <c r="AS99">
        <v>87.673353960786201</v>
      </c>
      <c r="AT99">
        <v>3736.8308999999995</v>
      </c>
      <c r="AU99">
        <v>3937.4513199999997</v>
      </c>
    </row>
    <row r="100" spans="5:47" x14ac:dyDescent="0.45">
      <c r="E100" t="s">
        <v>56</v>
      </c>
      <c r="F100">
        <v>21354.823100000001</v>
      </c>
      <c r="G100">
        <v>22730.824799999999</v>
      </c>
      <c r="H100">
        <v>22111.691699999999</v>
      </c>
      <c r="I100">
        <f ca="1">OFFSET(AP100,0,MATCH(Dashboard!$E$19,Lists!$AH$6:$AH$7,0)-1)</f>
        <v>25808.287799999998</v>
      </c>
      <c r="J100">
        <v>24586.062000000002</v>
      </c>
      <c r="K100">
        <f>INDEX(AF100:AH100,0,MATCH(Dashboard!$E$15,Lists!$AF$6:$AF$8,0))</f>
        <v>25945.190699999999</v>
      </c>
      <c r="M100" t="s">
        <v>56</v>
      </c>
      <c r="N100">
        <v>29.444381220004892</v>
      </c>
      <c r="O100">
        <v>31.879583789093346</v>
      </c>
      <c r="P100">
        <v>36.899821076056057</v>
      </c>
      <c r="Q100">
        <f ca="1">OFFSET(AR100,0,MATCH(Dashboard!$E$19,Lists!$AH$6:$AH$7,0)-1)</f>
        <v>76.530322674021505</v>
      </c>
      <c r="R100">
        <v>55.845530990770818</v>
      </c>
      <c r="S100">
        <f>INDEX(AF100:AN100,0,MATCH(Dashboard!$E$15,Lists!$AF$6:$AF$8,0)+3)</f>
        <v>88.022543328159898</v>
      </c>
      <c r="U100" t="s">
        <v>56</v>
      </c>
      <c r="V100">
        <v>3721.3985599999996</v>
      </c>
      <c r="W100">
        <v>3825.0156999999995</v>
      </c>
      <c r="X100">
        <v>3723.6031799999996</v>
      </c>
      <c r="Y100">
        <f ca="1">OFFSET(AT100,0,MATCH(Dashboard!$E$19,Lists!$AH$6:$AH$7,0)-1)</f>
        <v>4091.7747199999994</v>
      </c>
      <c r="Z100">
        <v>3831.6295599999999</v>
      </c>
      <c r="AA100">
        <f>INDEX(AF100:AN100,0,MATCH(Dashboard!$E$15,Lists!$AF$6:$AF$8,0)+6)</f>
        <v>3783.1279199999994</v>
      </c>
      <c r="AD100">
        <f t="shared" si="4"/>
        <v>0.74299999999999999</v>
      </c>
      <c r="AF100">
        <v>25945.190699999999</v>
      </c>
      <c r="AG100">
        <v>31070.4437</v>
      </c>
      <c r="AH100">
        <v>37962.476999999999</v>
      </c>
      <c r="AI100">
        <v>88.022543328159898</v>
      </c>
      <c r="AJ100">
        <v>83.579686034214731</v>
      </c>
      <c r="AK100">
        <v>76.206592332260911</v>
      </c>
      <c r="AL100">
        <v>3783.1279199999994</v>
      </c>
      <c r="AM100">
        <v>4118.2301600000001</v>
      </c>
      <c r="AN100">
        <v>4570.1772599999995</v>
      </c>
      <c r="AP100">
        <v>23114.902099999999</v>
      </c>
      <c r="AQ100">
        <v>25808.287799999998</v>
      </c>
      <c r="AR100">
        <v>72.46500364454181</v>
      </c>
      <c r="AS100">
        <v>76.530322674021505</v>
      </c>
      <c r="AT100">
        <v>3873.5173399999999</v>
      </c>
      <c r="AU100">
        <v>4091.7747199999994</v>
      </c>
    </row>
    <row r="101" spans="5:47" x14ac:dyDescent="0.45">
      <c r="E101" t="s">
        <v>59</v>
      </c>
      <c r="F101">
        <v>23158.429199999999</v>
      </c>
      <c r="G101">
        <v>24518.739300000001</v>
      </c>
      <c r="H101">
        <v>23918.567200000001</v>
      </c>
      <c r="I101">
        <f ca="1">OFFSET(AP101,0,MATCH(Dashboard!$E$19,Lists!$AH$6:$AH$7,0)-1)</f>
        <v>27981.5285</v>
      </c>
      <c r="J101">
        <v>26522.6702</v>
      </c>
      <c r="K101">
        <f>INDEX(AF101:AH101,0,MATCH(Dashboard!$E$15,Lists!$AF$6:$AF$8,0))</f>
        <v>28540.9588</v>
      </c>
      <c r="M101" t="s">
        <v>59</v>
      </c>
      <c r="N101">
        <v>28.168358169063382</v>
      </c>
      <c r="O101">
        <v>30.387149233535354</v>
      </c>
      <c r="P101">
        <v>32.712558107417138</v>
      </c>
      <c r="Q101">
        <f ca="1">OFFSET(AR101,0,MATCH(Dashboard!$E$19,Lists!$AH$6:$AH$7,0)-1)</f>
        <v>70.856537112148018</v>
      </c>
      <c r="R101">
        <v>52.193638755580338</v>
      </c>
      <c r="S101">
        <f>INDEX(AF101:AN101,0,MATCH(Dashboard!$E$15,Lists!$AF$6:$AF$8,0)+3)</f>
        <v>80.970767602256032</v>
      </c>
      <c r="U101" t="s">
        <v>59</v>
      </c>
      <c r="V101">
        <v>3853.6757599999996</v>
      </c>
      <c r="W101">
        <v>3959.4975199999994</v>
      </c>
      <c r="X101">
        <v>3899.9727799999996</v>
      </c>
      <c r="Y101">
        <f ca="1">OFFSET(AT101,0,MATCH(Dashboard!$E$19,Lists!$AH$6:$AH$7,0)-1)</f>
        <v>4299.009</v>
      </c>
      <c r="Z101">
        <v>3988.1575799999996</v>
      </c>
      <c r="AA101">
        <f>INDEX(AF101:AN101,0,MATCH(Dashboard!$E$15,Lists!$AF$6:$AF$8,0)+6)</f>
        <v>3974.9298599999997</v>
      </c>
      <c r="AD101">
        <f t="shared" si="4"/>
        <v>0.74299999999999999</v>
      </c>
      <c r="AF101">
        <v>28540.9588</v>
      </c>
      <c r="AG101">
        <v>34313.2408</v>
      </c>
      <c r="AH101">
        <v>41472.257299999997</v>
      </c>
      <c r="AI101">
        <v>80.970767602256032</v>
      </c>
      <c r="AJ101">
        <v>76.743060547138199</v>
      </c>
      <c r="AK101">
        <v>70.316864238336805</v>
      </c>
      <c r="AL101">
        <v>3974.9298599999997</v>
      </c>
      <c r="AM101">
        <v>4354.1244999999999</v>
      </c>
      <c r="AN101">
        <v>4828.1178</v>
      </c>
      <c r="AP101">
        <v>25117.395700000001</v>
      </c>
      <c r="AQ101">
        <v>27981.5285</v>
      </c>
      <c r="AR101">
        <v>67.362458056001344</v>
      </c>
      <c r="AS101">
        <v>70.856537112148018</v>
      </c>
      <c r="AT101">
        <v>4063.1146599999997</v>
      </c>
      <c r="AU101">
        <v>4299.009</v>
      </c>
    </row>
    <row r="102" spans="5:47" x14ac:dyDescent="0.45">
      <c r="E102" t="s">
        <v>60</v>
      </c>
      <c r="F102">
        <v>26096.154699999999</v>
      </c>
      <c r="G102">
        <v>28326.101900000001</v>
      </c>
      <c r="H102">
        <v>28038.468400000002</v>
      </c>
      <c r="I102">
        <f ca="1">OFFSET(AP102,0,MATCH(Dashboard!$E$19,Lists!$AH$6:$AH$7,0)-1)</f>
        <v>31909.2827</v>
      </c>
      <c r="J102">
        <v>31861.537499999999</v>
      </c>
      <c r="K102">
        <f>INDEX(AF102:AH102,0,MATCH(Dashboard!$E$15,Lists!$AF$6:$AF$8,0))</f>
        <v>32505.270799999998</v>
      </c>
      <c r="M102" t="s">
        <v>60</v>
      </c>
      <c r="N102">
        <v>23.242178532360793</v>
      </c>
      <c r="O102">
        <v>25.41347401503932</v>
      </c>
      <c r="P102">
        <v>29.219844373684843</v>
      </c>
      <c r="Q102">
        <f ca="1">OFFSET(AR102,0,MATCH(Dashboard!$E$19,Lists!$AH$6:$AH$7,0)-1)</f>
        <v>59.408372263982514</v>
      </c>
      <c r="R102">
        <v>42.547784878007811</v>
      </c>
      <c r="S102">
        <f>INDEX(AF102:AN102,0,MATCH(Dashboard!$E$15,Lists!$AF$6:$AF$8,0)+3)</f>
        <v>69.462275558541464</v>
      </c>
      <c r="U102" t="s">
        <v>60</v>
      </c>
      <c r="V102">
        <v>4334.2829199999996</v>
      </c>
      <c r="W102">
        <v>4462.1508799999992</v>
      </c>
      <c r="X102">
        <v>4329.8736799999997</v>
      </c>
      <c r="Y102">
        <f ca="1">OFFSET(AT102,0,MATCH(Dashboard!$E$19,Lists!$AH$6:$AH$7,0)-1)</f>
        <v>4779.6161599999996</v>
      </c>
      <c r="Z102">
        <v>4574.5864999999994</v>
      </c>
      <c r="AA102">
        <f>INDEX(AF102:AN102,0,MATCH(Dashboard!$E$15,Lists!$AF$6:$AF$8,0)+6)</f>
        <v>4400.4215199999999</v>
      </c>
      <c r="AD102">
        <f t="shared" si="4"/>
        <v>0.74299999999999999</v>
      </c>
      <c r="AF102">
        <v>32505.270799999998</v>
      </c>
      <c r="AG102">
        <v>39001.648000000001</v>
      </c>
      <c r="AH102">
        <v>47510.330699999999</v>
      </c>
      <c r="AI102">
        <v>69.462275558541464</v>
      </c>
      <c r="AJ102">
        <v>66.036707125361147</v>
      </c>
      <c r="AK102">
        <v>60.518816892633694</v>
      </c>
      <c r="AL102">
        <v>4400.4215199999999</v>
      </c>
      <c r="AM102">
        <v>4825.9131799999996</v>
      </c>
      <c r="AN102">
        <v>5381.4774199999993</v>
      </c>
      <c r="AP102">
        <v>28567.5281</v>
      </c>
      <c r="AQ102">
        <v>31909.2827</v>
      </c>
      <c r="AR102">
        <v>56.257150231411501</v>
      </c>
      <c r="AS102">
        <v>59.408372263982514</v>
      </c>
      <c r="AT102">
        <v>4499.6294199999993</v>
      </c>
      <c r="AU102">
        <v>4779.6161599999996</v>
      </c>
    </row>
    <row r="103" spans="5:47" x14ac:dyDescent="0.45">
      <c r="E103" t="s">
        <v>119</v>
      </c>
      <c r="F103">
        <v>15555.5445</v>
      </c>
      <c r="G103">
        <v>17012.355800000001</v>
      </c>
      <c r="H103">
        <v>16210.0782</v>
      </c>
      <c r="I103">
        <f ca="1">OFFSET(AP103,0,MATCH(Dashboard!$E$19,Lists!$AH$6:$AH$7,0)-1)</f>
        <v>19635.778699999999</v>
      </c>
      <c r="J103">
        <v>18552.602800000001</v>
      </c>
      <c r="K103">
        <f>INDEX(AF103:AH103,0,MATCH(Dashboard!$E$15,Lists!$AF$6:$AF$8,0))</f>
        <v>18850.684700000002</v>
      </c>
      <c r="M103" t="s">
        <v>119</v>
      </c>
      <c r="N103">
        <v>32.082891722370071</v>
      </c>
      <c r="O103">
        <v>34.070068901030403</v>
      </c>
      <c r="P103">
        <v>38.708935564526598</v>
      </c>
      <c r="Q103">
        <f ca="1">OFFSET(AR103,0,MATCH(Dashboard!$E$19,Lists!$AH$6:$AH$7,0)-1)</f>
        <v>87.569223741570681</v>
      </c>
      <c r="R103">
        <v>63.902305415175505</v>
      </c>
      <c r="S103">
        <f>INDEX(AF103:AN103,0,MATCH(Dashboard!$E$15,Lists!$AF$6:$AF$8,0)+3)</f>
        <v>103.47680809952861</v>
      </c>
      <c r="U103" t="s">
        <v>119</v>
      </c>
      <c r="V103">
        <v>3430.3887199999995</v>
      </c>
      <c r="W103">
        <v>3549.4381999999996</v>
      </c>
      <c r="X103">
        <v>3425.9794799999995</v>
      </c>
      <c r="Y103">
        <f ca="1">OFFSET(AT103,0,MATCH(Dashboard!$E$19,Lists!$AH$6:$AH$7,0)-1)</f>
        <v>3756.6724799999997</v>
      </c>
      <c r="Z103">
        <v>3527.3919999999998</v>
      </c>
      <c r="AA103">
        <f>INDEX(AF103:AN103,0,MATCH(Dashboard!$E$15,Lists!$AF$6:$AF$8,0)+6)</f>
        <v>3428.1840999999995</v>
      </c>
      <c r="AD103">
        <f t="shared" si="4"/>
        <v>0.74299999999999999</v>
      </c>
      <c r="AF103">
        <v>18850.684700000002</v>
      </c>
      <c r="AG103">
        <v>23309.130700000002</v>
      </c>
      <c r="AH103">
        <v>29271.0524</v>
      </c>
      <c r="AI103">
        <v>103.47680809952861</v>
      </c>
      <c r="AJ103">
        <v>97.975136879605273</v>
      </c>
      <c r="AK103">
        <v>88.963149359830737</v>
      </c>
      <c r="AL103">
        <v>3428.1840999999995</v>
      </c>
      <c r="AM103">
        <v>3719.1939399999997</v>
      </c>
      <c r="AN103">
        <v>4111.6162999999997</v>
      </c>
      <c r="AP103">
        <v>17048.3433</v>
      </c>
      <c r="AQ103">
        <v>19635.778699999999</v>
      </c>
      <c r="AR103">
        <v>84.277738415893708</v>
      </c>
      <c r="AS103">
        <v>87.569223741570681</v>
      </c>
      <c r="AT103">
        <v>3553.8474399999996</v>
      </c>
      <c r="AU103">
        <v>3756.6724799999997</v>
      </c>
    </row>
    <row r="104" spans="5:47" x14ac:dyDescent="0.45">
      <c r="E104" t="s">
        <v>120</v>
      </c>
      <c r="F104">
        <v>20532.589400000001</v>
      </c>
      <c r="G104">
        <v>22898.0226</v>
      </c>
      <c r="H104">
        <v>21511.038199999999</v>
      </c>
      <c r="I104">
        <f ca="1">OFFSET(AP104,0,MATCH(Dashboard!$E$19,Lists!$AH$6:$AH$7,0)-1)</f>
        <v>25069.9467</v>
      </c>
      <c r="J104">
        <v>25434.0144</v>
      </c>
      <c r="K104">
        <f>INDEX(AF104:AH104,0,MATCH(Dashboard!$E$15,Lists!$AF$6:$AF$8,0))</f>
        <v>23548.0121</v>
      </c>
      <c r="M104" t="s">
        <v>120</v>
      </c>
      <c r="N104">
        <v>27.122863714382156</v>
      </c>
      <c r="O104">
        <v>29.374456192489035</v>
      </c>
      <c r="P104">
        <v>37.064164203527561</v>
      </c>
      <c r="Q104">
        <f ca="1">OFFSET(AR104,0,MATCH(Dashboard!$E$19,Lists!$AH$6:$AH$7,0)-1)</f>
        <v>80.788616999016924</v>
      </c>
      <c r="R104">
        <v>56.080614686739821</v>
      </c>
      <c r="S104">
        <f>INDEX(AF104:AN104,0,MATCH(Dashboard!$E$15,Lists!$AF$6:$AF$8,0)+3)</f>
        <v>98.014831553826468</v>
      </c>
      <c r="U104" t="s">
        <v>120</v>
      </c>
      <c r="V104">
        <v>3886.7450599999997</v>
      </c>
      <c r="W104">
        <v>4032.2499799999996</v>
      </c>
      <c r="X104">
        <v>3851.4711399999997</v>
      </c>
      <c r="Y104">
        <f ca="1">OFFSET(AT104,0,MATCH(Dashboard!$E$19,Lists!$AH$6:$AH$7,0)-1)</f>
        <v>4199.8010999999997</v>
      </c>
      <c r="Z104">
        <v>4069.7285199999997</v>
      </c>
      <c r="AA104">
        <f>INDEX(AF104:AN104,0,MATCH(Dashboard!$E$15,Lists!$AF$6:$AF$8,0)+6)</f>
        <v>3783.1279199999994</v>
      </c>
      <c r="AD104">
        <f t="shared" si="4"/>
        <v>0.74299999999999999</v>
      </c>
      <c r="AF104">
        <v>23548.0121</v>
      </c>
      <c r="AG104">
        <v>28164.942299999999</v>
      </c>
      <c r="AH104">
        <v>34632.35</v>
      </c>
      <c r="AI104">
        <v>98.014831553826468</v>
      </c>
      <c r="AJ104">
        <v>92.856523635508495</v>
      </c>
      <c r="AK104">
        <v>83.982459204243824</v>
      </c>
      <c r="AL104">
        <v>3783.1279199999994</v>
      </c>
      <c r="AM104">
        <v>4087.3654799999995</v>
      </c>
      <c r="AN104">
        <v>4510.6525199999996</v>
      </c>
      <c r="AP104">
        <v>22235.1927</v>
      </c>
      <c r="AQ104">
        <v>25069.9467</v>
      </c>
      <c r="AR104">
        <v>76.792386889121985</v>
      </c>
      <c r="AS104">
        <v>80.788616999016924</v>
      </c>
      <c r="AT104">
        <v>3981.5437199999997</v>
      </c>
      <c r="AU104">
        <v>4199.8010999999997</v>
      </c>
    </row>
    <row r="105" spans="5:47" x14ac:dyDescent="0.45">
      <c r="E105" t="s">
        <v>121</v>
      </c>
      <c r="F105">
        <v>21891.2454</v>
      </c>
      <c r="G105">
        <v>24320.333900000001</v>
      </c>
      <c r="H105">
        <v>23291.338800000001</v>
      </c>
      <c r="I105">
        <f ca="1">OFFSET(AP105,0,MATCH(Dashboard!$E$19,Lists!$AH$6:$AH$7,0)-1)</f>
        <v>26880.9028</v>
      </c>
      <c r="J105">
        <v>26826.427100000001</v>
      </c>
      <c r="K105">
        <f>INDEX(AF105:AH105,0,MATCH(Dashboard!$E$15,Lists!$AF$6:$AF$8,0))</f>
        <v>26694.060700000002</v>
      </c>
      <c r="M105" t="s">
        <v>121</v>
      </c>
      <c r="N105">
        <v>27.08376341636087</v>
      </c>
      <c r="O105">
        <v>29.329208028552593</v>
      </c>
      <c r="P105">
        <v>34.724743600806121</v>
      </c>
      <c r="Q105">
        <f ca="1">OFFSET(AR105,0,MATCH(Dashboard!$E$19,Lists!$AH$6:$AH$7,0)-1)</f>
        <v>71.739321702641845</v>
      </c>
      <c r="R105">
        <v>51.345028395510987</v>
      </c>
      <c r="S105">
        <f>INDEX(AF105:AN105,0,MATCH(Dashboard!$E$15,Lists!$AF$6:$AF$8,0)+3)</f>
        <v>84.936397625743965</v>
      </c>
      <c r="U105" t="s">
        <v>121</v>
      </c>
      <c r="V105">
        <v>4010.2037799999998</v>
      </c>
      <c r="W105">
        <v>4135.8671199999999</v>
      </c>
      <c r="X105">
        <v>4021.2268799999997</v>
      </c>
      <c r="Y105">
        <f ca="1">OFFSET(AT105,0,MATCH(Dashboard!$E$19,Lists!$AH$6:$AH$7,0)-1)</f>
        <v>4409.24</v>
      </c>
      <c r="Z105">
        <v>4188.7779999999993</v>
      </c>
      <c r="AA105">
        <f>INDEX(AF105:AN105,0,MATCH(Dashboard!$E$15,Lists!$AF$6:$AF$8,0)+6)</f>
        <v>4007.9991599999998</v>
      </c>
      <c r="AD105">
        <f t="shared" si="4"/>
        <v>0.74299999999999999</v>
      </c>
      <c r="AF105">
        <v>26694.060700000002</v>
      </c>
      <c r="AG105">
        <v>32075.439600000002</v>
      </c>
      <c r="AH105">
        <v>39317.216500000002</v>
      </c>
      <c r="AI105">
        <v>84.936397625743965</v>
      </c>
      <c r="AJ105">
        <v>80.472616122867564</v>
      </c>
      <c r="AK105">
        <v>73.202227038723208</v>
      </c>
      <c r="AL105">
        <v>4007.9991599999998</v>
      </c>
      <c r="AM105">
        <v>4362.9429799999998</v>
      </c>
      <c r="AN105">
        <v>4836.9362799999999</v>
      </c>
      <c r="AP105">
        <v>24223.936399999999</v>
      </c>
      <c r="AQ105">
        <v>26880.9028</v>
      </c>
      <c r="AR105">
        <v>67.12012381804</v>
      </c>
      <c r="AS105">
        <v>71.739321702641845</v>
      </c>
      <c r="AT105">
        <v>4175.5502799999995</v>
      </c>
      <c r="AU105">
        <v>4409.24</v>
      </c>
    </row>
    <row r="106" spans="5:47" x14ac:dyDescent="0.45">
      <c r="E106" t="s">
        <v>122</v>
      </c>
      <c r="F106">
        <v>24266.297299999998</v>
      </c>
      <c r="G106">
        <v>26495.795300000002</v>
      </c>
      <c r="H106">
        <v>25699.784500000002</v>
      </c>
      <c r="I106">
        <f ca="1">OFFSET(AP106,0,MATCH(Dashboard!$E$19,Lists!$AH$6:$AH$7,0)-1)</f>
        <v>29760.4709</v>
      </c>
      <c r="J106">
        <v>29936.7382</v>
      </c>
      <c r="K106">
        <f>INDEX(AF106:AH106,0,MATCH(Dashboard!$E$15,Lists!$AF$6:$AF$8,0))</f>
        <v>29846.482499999998</v>
      </c>
      <c r="M106" t="s">
        <v>122</v>
      </c>
      <c r="N106">
        <v>24.619416128150281</v>
      </c>
      <c r="O106">
        <v>26.840308703970706</v>
      </c>
      <c r="P106">
        <v>31.257621673843687</v>
      </c>
      <c r="Q106">
        <f ca="1">OFFSET(AR106,0,MATCH(Dashboard!$E$19,Lists!$AH$6:$AH$7,0)-1)</f>
        <v>64.702429088609179</v>
      </c>
      <c r="R106">
        <v>45.889307012596667</v>
      </c>
      <c r="S106">
        <f>INDEX(AF106:AN106,0,MATCH(Dashboard!$E$15,Lists!$AF$6:$AF$8,0)+3)</f>
        <v>76.220265068407983</v>
      </c>
      <c r="U106" t="s">
        <v>122</v>
      </c>
      <c r="V106">
        <v>4422.4677199999996</v>
      </c>
      <c r="W106">
        <v>4556.9495399999996</v>
      </c>
      <c r="X106">
        <v>4448.9231599999994</v>
      </c>
      <c r="Y106">
        <f ca="1">OFFSET(AT106,0,MATCH(Dashboard!$E$19,Lists!$AH$6:$AH$7,0)-1)</f>
        <v>4872.2101999999995</v>
      </c>
      <c r="Z106">
        <v>4680.4082599999992</v>
      </c>
      <c r="AA106">
        <f>INDEX(AF106:AN106,0,MATCH(Dashboard!$E$15,Lists!$AF$6:$AF$8,0)+6)</f>
        <v>4475.3786</v>
      </c>
      <c r="AD106">
        <f t="shared" si="4"/>
        <v>0.74299999999999999</v>
      </c>
      <c r="AF106">
        <v>29846.482499999998</v>
      </c>
      <c r="AG106">
        <v>35793.003299999997</v>
      </c>
      <c r="AH106">
        <v>43873.745199999998</v>
      </c>
      <c r="AI106">
        <v>76.220265068407983</v>
      </c>
      <c r="AJ106">
        <v>72.327119610026017</v>
      </c>
      <c r="AK106">
        <v>65.77499353613365</v>
      </c>
      <c r="AL106">
        <v>4475.3786</v>
      </c>
      <c r="AM106">
        <v>4861.1870999999992</v>
      </c>
      <c r="AN106">
        <v>5392.5005199999996</v>
      </c>
      <c r="AP106">
        <v>26626.654299999998</v>
      </c>
      <c r="AQ106">
        <v>29760.4709</v>
      </c>
      <c r="AR106">
        <v>60.61305935815151</v>
      </c>
      <c r="AS106">
        <v>64.702429088609179</v>
      </c>
      <c r="AT106">
        <v>4616.4742799999995</v>
      </c>
      <c r="AU106">
        <v>4872.2101999999995</v>
      </c>
    </row>
    <row r="107" spans="5:47" x14ac:dyDescent="0.45">
      <c r="E107" t="s">
        <v>123</v>
      </c>
      <c r="F107">
        <v>26403.9902</v>
      </c>
      <c r="G107">
        <v>28675.6538</v>
      </c>
      <c r="H107">
        <v>28894.3181</v>
      </c>
      <c r="I107">
        <f ca="1">OFFSET(AP107,0,MATCH(Dashboard!$E$19,Lists!$AH$6:$AH$7,0)-1)</f>
        <v>32642.1142</v>
      </c>
      <c r="J107">
        <v>33256.511899999998</v>
      </c>
      <c r="K107">
        <f>INDEX(AF107:AH107,0,MATCH(Dashboard!$E$15,Lists!$AF$6:$AF$8,0))</f>
        <v>33602.504699999998</v>
      </c>
      <c r="M107" t="s">
        <v>123</v>
      </c>
      <c r="N107">
        <v>21.628517863707078</v>
      </c>
      <c r="O107">
        <v>23.624577648830385</v>
      </c>
      <c r="P107">
        <v>27.129378388407197</v>
      </c>
      <c r="Q107">
        <f ca="1">OFFSET(AR107,0,MATCH(Dashboard!$E$19,Lists!$AH$6:$AH$7,0)-1)</f>
        <v>55.610324263647513</v>
      </c>
      <c r="R107">
        <v>39.652659509706069</v>
      </c>
      <c r="S107">
        <f>INDEX(AF107:AN107,0,MATCH(Dashboard!$E$15,Lists!$AF$6:$AF$8,0)+3)</f>
        <v>65.036847580157342</v>
      </c>
      <c r="U107" t="s">
        <v>123</v>
      </c>
      <c r="V107">
        <v>4964.8042399999995</v>
      </c>
      <c r="W107">
        <v>5119.1276399999997</v>
      </c>
      <c r="X107">
        <v>4920.7118399999999</v>
      </c>
      <c r="Y107">
        <f ca="1">OFFSET(AT107,0,MATCH(Dashboard!$E$19,Lists!$AH$6:$AH$7,0)-1)</f>
        <v>5385.8866599999992</v>
      </c>
      <c r="Z107">
        <v>5242.5863599999993</v>
      </c>
      <c r="AA107">
        <f>INDEX(AF107:AN107,0,MATCH(Dashboard!$E$15,Lists!$AF$6:$AF$8,0)+6)</f>
        <v>5022.1243599999998</v>
      </c>
      <c r="AD107">
        <f t="shared" si="4"/>
        <v>0.74299999999999999</v>
      </c>
      <c r="AF107">
        <v>33602.504699999998</v>
      </c>
      <c r="AG107">
        <v>40432.3609</v>
      </c>
      <c r="AH107">
        <v>49850.911800000002</v>
      </c>
      <c r="AI107">
        <v>65.036847580157342</v>
      </c>
      <c r="AJ107">
        <v>61.828452598100803</v>
      </c>
      <c r="AK107">
        <v>56.375982571791425</v>
      </c>
      <c r="AL107">
        <v>5022.1243599999998</v>
      </c>
      <c r="AM107">
        <v>5471.8668399999997</v>
      </c>
      <c r="AN107">
        <v>6086.9558199999992</v>
      </c>
      <c r="AP107">
        <v>29120.8763</v>
      </c>
      <c r="AQ107">
        <v>32642.1142</v>
      </c>
      <c r="AR107">
        <v>52.725948896249534</v>
      </c>
      <c r="AS107">
        <v>55.610324263647513</v>
      </c>
      <c r="AT107">
        <v>5092.6722</v>
      </c>
      <c r="AU107">
        <v>5385.8866599999992</v>
      </c>
    </row>
    <row r="108" spans="5:47" x14ac:dyDescent="0.45">
      <c r="E108" t="s">
        <v>115</v>
      </c>
      <c r="G108">
        <v>149447.37600335115</v>
      </c>
      <c r="H108">
        <v>156789.35465051228</v>
      </c>
      <c r="I108">
        <v>349780.96341738437</v>
      </c>
      <c r="J108">
        <v>245227.6833933423</v>
      </c>
      <c r="K108">
        <v>534724.14964890725</v>
      </c>
      <c r="M108" t="s">
        <v>115</v>
      </c>
      <c r="O108">
        <v>7.8941429251780271</v>
      </c>
      <c r="P108">
        <v>7.8077559195492388</v>
      </c>
      <c r="Q108">
        <v>7.6493711691149668</v>
      </c>
      <c r="R108">
        <v>7.6091385046073485</v>
      </c>
      <c r="S108">
        <v>13.349783635598081</v>
      </c>
      <c r="U108" t="s">
        <v>115</v>
      </c>
      <c r="W108">
        <v>66560.80188760173</v>
      </c>
      <c r="X108">
        <v>66490.086810310793</v>
      </c>
      <c r="Y108">
        <v>72784.588625838369</v>
      </c>
      <c r="Z108">
        <v>67661.298512164038</v>
      </c>
      <c r="AA108">
        <v>75266.885039335481</v>
      </c>
      <c r="AC108">
        <v>38565.417659999999</v>
      </c>
      <c r="AD108">
        <v>0.28806083500512691</v>
      </c>
    </row>
    <row r="109" spans="5:47" x14ac:dyDescent="0.45">
      <c r="E109" t="s">
        <v>116</v>
      </c>
      <c r="G109">
        <v>126650.52214377839</v>
      </c>
      <c r="H109">
        <v>133234.07793307918</v>
      </c>
      <c r="I109">
        <v>230309.6174958428</v>
      </c>
      <c r="J109">
        <v>208244.90157976639</v>
      </c>
      <c r="K109">
        <v>310221.98052650539</v>
      </c>
      <c r="M109" t="s">
        <v>116</v>
      </c>
      <c r="O109">
        <v>7.3145867627389043</v>
      </c>
      <c r="P109">
        <v>7.3543550736981889</v>
      </c>
      <c r="Q109">
        <v>7.6833103933955007</v>
      </c>
      <c r="R109">
        <v>7.2772435932453625</v>
      </c>
      <c r="S109">
        <v>13.766043227880452</v>
      </c>
      <c r="U109" t="s">
        <v>116</v>
      </c>
      <c r="W109">
        <v>64417.12311143714</v>
      </c>
      <c r="X109">
        <v>64321.419510803331</v>
      </c>
      <c r="Y109">
        <v>67783.291052446482</v>
      </c>
      <c r="Z109">
        <v>64230.629470480933</v>
      </c>
      <c r="AA109">
        <v>67155.302867574224</v>
      </c>
      <c r="AC109">
        <v>38425.791800154002</v>
      </c>
      <c r="AD109">
        <v>0.34036229383227612</v>
      </c>
    </row>
    <row r="110" spans="5:47" x14ac:dyDescent="0.45">
      <c r="E110" t="s">
        <v>117</v>
      </c>
      <c r="G110">
        <v>100224.59501906054</v>
      </c>
      <c r="H110">
        <v>107203.0985986016</v>
      </c>
      <c r="I110">
        <v>176614.84683172189</v>
      </c>
      <c r="J110">
        <v>143886.05934917269</v>
      </c>
      <c r="K110">
        <v>233313.13253298911</v>
      </c>
      <c r="M110" t="s">
        <v>117</v>
      </c>
      <c r="O110">
        <v>7.8556584169460599</v>
      </c>
      <c r="P110">
        <v>8.9959091695401039</v>
      </c>
      <c r="Q110">
        <v>13.246089087860602</v>
      </c>
      <c r="R110">
        <v>10.840946703683572</v>
      </c>
      <c r="S110">
        <v>20.156357009711584</v>
      </c>
      <c r="U110" t="s">
        <v>117</v>
      </c>
      <c r="W110">
        <v>41048.417331417171</v>
      </c>
      <c r="X110">
        <v>40871.048315466454</v>
      </c>
      <c r="Y110">
        <v>44392.600939263364</v>
      </c>
      <c r="Z110">
        <v>41201.438023040355</v>
      </c>
      <c r="AA110">
        <v>43705.416419732675</v>
      </c>
      <c r="AC110">
        <v>15411.028599845999</v>
      </c>
      <c r="AD110">
        <v>0.60627290802013578</v>
      </c>
    </row>
    <row r="111" spans="5:47" x14ac:dyDescent="0.45">
      <c r="E111" t="s">
        <v>124</v>
      </c>
      <c r="G111">
        <v>75106.538132163711</v>
      </c>
      <c r="H111">
        <v>82002.350455701686</v>
      </c>
      <c r="I111">
        <v>118834.1310065125</v>
      </c>
      <c r="J111">
        <v>108084.64672275369</v>
      </c>
      <c r="K111">
        <v>142838.81785744533</v>
      </c>
      <c r="M111" t="s">
        <v>124</v>
      </c>
      <c r="O111">
        <v>11.476654196138906</v>
      </c>
      <c r="P111">
        <v>13.273211222307005</v>
      </c>
      <c r="Q111">
        <v>20.758972622337222</v>
      </c>
      <c r="R111">
        <v>17.152525153821646</v>
      </c>
      <c r="S111">
        <v>31.770505586925669</v>
      </c>
      <c r="U111" t="s">
        <v>124</v>
      </c>
      <c r="W111">
        <v>23082.839546505289</v>
      </c>
      <c r="X111">
        <v>22965.04633859119</v>
      </c>
      <c r="Y111">
        <v>25398.906310699371</v>
      </c>
      <c r="Z111">
        <v>22873.976597224515</v>
      </c>
      <c r="AA111">
        <v>23878.335993446355</v>
      </c>
      <c r="AC111">
        <v>11435.374963099999</v>
      </c>
      <c r="AD111">
        <v>0.67649947962424317</v>
      </c>
    </row>
    <row r="112" spans="5:47" x14ac:dyDescent="0.45">
      <c r="E112" t="s">
        <v>125</v>
      </c>
      <c r="G112">
        <v>61262.934989771049</v>
      </c>
      <c r="H112">
        <v>65947.694629866499</v>
      </c>
      <c r="I112">
        <v>83345.80163035974</v>
      </c>
      <c r="J112">
        <v>82933.507806204565</v>
      </c>
      <c r="K112">
        <v>97678.518987600721</v>
      </c>
      <c r="M112" t="s">
        <v>125</v>
      </c>
      <c r="O112">
        <v>14.857789486347546</v>
      </c>
      <c r="P112">
        <v>19.083352537461483</v>
      </c>
      <c r="Q112">
        <v>26.730123736199129</v>
      </c>
      <c r="R112">
        <v>27.234068805677385</v>
      </c>
      <c r="S112">
        <v>50.730128487975733</v>
      </c>
      <c r="U112" t="s">
        <v>125</v>
      </c>
      <c r="W112">
        <v>15187.055668727689</v>
      </c>
      <c r="X112">
        <v>13491.591055102101</v>
      </c>
      <c r="Y112">
        <v>14977.66941656674</v>
      </c>
      <c r="Z112">
        <v>12914.934193167353</v>
      </c>
      <c r="AA112">
        <v>13587.028692683883</v>
      </c>
      <c r="AC112">
        <v>6152.2787105999996</v>
      </c>
      <c r="AD112">
        <v>0.59770122302734174</v>
      </c>
    </row>
    <row r="113" spans="5:47" x14ac:dyDescent="0.45">
      <c r="E113" t="s">
        <v>118</v>
      </c>
      <c r="M113" t="s">
        <v>118</v>
      </c>
      <c r="U113" t="s">
        <v>118</v>
      </c>
      <c r="AD113">
        <v>0</v>
      </c>
    </row>
    <row r="114" spans="5:47" x14ac:dyDescent="0.45">
      <c r="E114" t="s">
        <v>138</v>
      </c>
      <c r="G114">
        <v>104973.56098734496</v>
      </c>
      <c r="M114" t="s">
        <v>138</v>
      </c>
      <c r="O114">
        <v>5.6899004083867437</v>
      </c>
      <c r="U114" t="s">
        <v>138</v>
      </c>
      <c r="W114">
        <v>54312.303094107403</v>
      </c>
      <c r="AC114">
        <v>27403.426599999999</v>
      </c>
      <c r="AD114">
        <v>0</v>
      </c>
    </row>
    <row r="117" spans="5:47" x14ac:dyDescent="0.45">
      <c r="E117" t="s">
        <v>129</v>
      </c>
      <c r="F117" t="s">
        <v>42</v>
      </c>
      <c r="G117" t="s">
        <v>43</v>
      </c>
      <c r="H117" t="s">
        <v>427</v>
      </c>
      <c r="I117" t="s">
        <v>44</v>
      </c>
      <c r="J117" t="s">
        <v>45</v>
      </c>
      <c r="K117" t="s">
        <v>46</v>
      </c>
      <c r="M117" t="s">
        <v>129</v>
      </c>
      <c r="N117" t="s">
        <v>42</v>
      </c>
      <c r="O117" t="s">
        <v>43</v>
      </c>
      <c r="P117" t="s">
        <v>427</v>
      </c>
      <c r="Q117" t="s">
        <v>44</v>
      </c>
      <c r="R117" t="s">
        <v>45</v>
      </c>
      <c r="S117" t="s">
        <v>46</v>
      </c>
      <c r="U117" t="s">
        <v>129</v>
      </c>
      <c r="V117" t="s">
        <v>42</v>
      </c>
      <c r="W117" t="s">
        <v>43</v>
      </c>
      <c r="X117" t="s">
        <v>427</v>
      </c>
      <c r="Y117" t="s">
        <v>44</v>
      </c>
      <c r="Z117" t="s">
        <v>45</v>
      </c>
      <c r="AA117" t="s">
        <v>46</v>
      </c>
      <c r="AC117" t="s">
        <v>464</v>
      </c>
      <c r="AD117" t="s">
        <v>234</v>
      </c>
      <c r="AF117" t="s">
        <v>164</v>
      </c>
      <c r="AG117" t="s">
        <v>165</v>
      </c>
      <c r="AH117" t="s">
        <v>166</v>
      </c>
      <c r="AI117" t="s">
        <v>167</v>
      </c>
      <c r="AJ117" t="s">
        <v>168</v>
      </c>
      <c r="AK117" t="s">
        <v>169</v>
      </c>
      <c r="AL117" t="s">
        <v>418</v>
      </c>
      <c r="AM117" t="s">
        <v>419</v>
      </c>
      <c r="AN117" t="s">
        <v>420</v>
      </c>
      <c r="AP117" t="s">
        <v>173</v>
      </c>
      <c r="AQ117" t="s">
        <v>174</v>
      </c>
      <c r="AR117" t="s">
        <v>176</v>
      </c>
      <c r="AS117" t="s">
        <v>175</v>
      </c>
      <c r="AT117" t="s">
        <v>416</v>
      </c>
      <c r="AU117" t="s">
        <v>417</v>
      </c>
    </row>
    <row r="118" spans="5:47" x14ac:dyDescent="0.45">
      <c r="E118" t="s">
        <v>57</v>
      </c>
      <c r="F118">
        <v>15046.036099999999</v>
      </c>
      <c r="G118">
        <v>16182.7727</v>
      </c>
      <c r="H118">
        <v>15117.9715</v>
      </c>
      <c r="I118">
        <f ca="1">OFFSET(AP118,0,MATCH(Dashboard!$E$19,Lists!$AH$6:$AH$7,0)-1)</f>
        <v>17692.839400000001</v>
      </c>
      <c r="J118">
        <v>16387.088800000001</v>
      </c>
      <c r="K118">
        <f>INDEX(AF118:AH118,0,MATCH(Dashboard!$E$15,Lists!$AF$6:$AF$8,0))</f>
        <v>17535.716499999999</v>
      </c>
      <c r="M118" t="s">
        <v>57</v>
      </c>
      <c r="N118">
        <v>39.242619654790417</v>
      </c>
      <c r="O118">
        <v>40.59338586874361</v>
      </c>
      <c r="P118">
        <v>47.898553812360852</v>
      </c>
      <c r="Q118">
        <f ca="1">OFFSET(AR118,0,MATCH(Dashboard!$E$19,Lists!$AH$6:$AH$7,0)-1)</f>
        <v>102.77352807412906</v>
      </c>
      <c r="R118">
        <v>78.61617711809582</v>
      </c>
      <c r="S118">
        <f>INDEX(AF118:AN118,0,MATCH(Dashboard!$E$15,Lists!$AF$6:$AF$8,0)+3)</f>
        <v>113.46221734426933</v>
      </c>
      <c r="U118" t="s">
        <v>57</v>
      </c>
      <c r="V118">
        <v>3181.2666599999998</v>
      </c>
      <c r="W118">
        <v>3293.7022799999995</v>
      </c>
      <c r="X118">
        <v>3198.9036199999996</v>
      </c>
      <c r="Y118">
        <f ca="1">OFFSET(AT118,0,MATCH(Dashboard!$E$19,Lists!$AH$6:$AH$7,0)-1)</f>
        <v>3472.2764999999995</v>
      </c>
      <c r="Z118">
        <v>3214.3359599999999</v>
      </c>
      <c r="AA118">
        <f>INDEX(AF118:AN118,0,MATCH(Dashboard!$E$15,Lists!$AF$6:$AF$8,0)+6)</f>
        <v>3198.9036199999996</v>
      </c>
      <c r="AD118">
        <f t="shared" ref="AD118:AD127" si="5">$AG$14</f>
        <v>0.74299999999999999</v>
      </c>
      <c r="AF118">
        <v>17535.716499999999</v>
      </c>
      <c r="AG118">
        <v>21664.2071</v>
      </c>
      <c r="AH118">
        <v>26285.274000000001</v>
      </c>
      <c r="AI118">
        <v>113.46221734426933</v>
      </c>
      <c r="AJ118">
        <v>105.70355172165965</v>
      </c>
      <c r="AK118">
        <v>100.75053680355074</v>
      </c>
      <c r="AL118">
        <v>3198.9036199999996</v>
      </c>
      <c r="AM118">
        <v>3467.8672599999995</v>
      </c>
      <c r="AN118">
        <v>3769.9001999999996</v>
      </c>
      <c r="AP118">
        <v>15704.241599999999</v>
      </c>
      <c r="AQ118">
        <v>17692.839400000001</v>
      </c>
      <c r="AR118">
        <v>97.317698317095619</v>
      </c>
      <c r="AS118">
        <v>102.77352807412906</v>
      </c>
      <c r="AT118">
        <v>3302.5207599999999</v>
      </c>
      <c r="AU118">
        <v>3472.2764999999995</v>
      </c>
    </row>
    <row r="119" spans="5:47" x14ac:dyDescent="0.45">
      <c r="E119" t="s">
        <v>58</v>
      </c>
      <c r="F119">
        <v>19173.1214</v>
      </c>
      <c r="G119">
        <v>20338.811300000001</v>
      </c>
      <c r="H119">
        <v>19365.502700000001</v>
      </c>
      <c r="I119">
        <f ca="1">OFFSET(AP119,0,MATCH(Dashboard!$E$19,Lists!$AH$6:$AH$7,0)-1)</f>
        <v>22004.465400000001</v>
      </c>
      <c r="J119">
        <v>21221.102200000001</v>
      </c>
      <c r="K119">
        <f>INDEX(AF119:AH119,0,MATCH(Dashboard!$E$15,Lists!$AF$6:$AF$8,0))</f>
        <v>22024.3976</v>
      </c>
      <c r="M119" t="s">
        <v>58</v>
      </c>
      <c r="N119">
        <v>35.49608388428679</v>
      </c>
      <c r="O119">
        <v>37.590908035615612</v>
      </c>
      <c r="P119">
        <v>44.102811109900969</v>
      </c>
      <c r="Q119">
        <f ca="1">OFFSET(AR119,0,MATCH(Dashboard!$E$19,Lists!$AH$6:$AH$7,0)-1)</f>
        <v>96.257517591244252</v>
      </c>
      <c r="R119">
        <v>72.392255863479889</v>
      </c>
      <c r="S119">
        <f>INDEX(AF119:AN119,0,MATCH(Dashboard!$E$15,Lists!$AF$6:$AF$8,0)+3)</f>
        <v>106.95668226034368</v>
      </c>
      <c r="U119" t="s">
        <v>58</v>
      </c>
      <c r="V119">
        <v>3633.2137599999996</v>
      </c>
      <c r="W119">
        <v>3736.8308999999995</v>
      </c>
      <c r="X119">
        <v>3600.1444599999995</v>
      </c>
      <c r="Y119">
        <f ca="1">OFFSET(AT119,0,MATCH(Dashboard!$E$19,Lists!$AH$6:$AH$7,0)-1)</f>
        <v>3888.9496799999997</v>
      </c>
      <c r="Z119">
        <v>3650.8507199999995</v>
      </c>
      <c r="AA119">
        <f>INDEX(AF119:AN119,0,MATCH(Dashboard!$E$15,Lists!$AF$6:$AF$8,0)+6)</f>
        <v>3591.3259799999996</v>
      </c>
      <c r="AD119">
        <f t="shared" si="5"/>
        <v>0.74299999999999999</v>
      </c>
      <c r="AF119">
        <v>22024.3976</v>
      </c>
      <c r="AG119">
        <v>26442.112799999999</v>
      </c>
      <c r="AH119">
        <v>31345.9228</v>
      </c>
      <c r="AI119">
        <v>106.95668226034368</v>
      </c>
      <c r="AJ119">
        <v>99.368119196995991</v>
      </c>
      <c r="AK119">
        <v>94.755571157832634</v>
      </c>
      <c r="AL119">
        <v>3591.3259799999996</v>
      </c>
      <c r="AM119">
        <v>3880.1311999999998</v>
      </c>
      <c r="AN119">
        <v>4197.5964799999992</v>
      </c>
      <c r="AP119">
        <v>19931.774300000001</v>
      </c>
      <c r="AQ119">
        <v>22004.465400000001</v>
      </c>
      <c r="AR119">
        <v>90.796897689219094</v>
      </c>
      <c r="AS119">
        <v>96.257517591244252</v>
      </c>
      <c r="AT119">
        <v>3716.9893199999997</v>
      </c>
      <c r="AU119">
        <v>3888.9496799999997</v>
      </c>
    </row>
    <row r="120" spans="5:47" x14ac:dyDescent="0.45">
      <c r="E120" t="s">
        <v>56</v>
      </c>
      <c r="F120">
        <v>21978.219799999999</v>
      </c>
      <c r="G120">
        <v>23123.1008</v>
      </c>
      <c r="H120">
        <v>22281.572100000001</v>
      </c>
      <c r="I120">
        <f ca="1">OFFSET(AP120,0,MATCH(Dashboard!$E$19,Lists!$AH$6:$AH$7,0)-1)</f>
        <v>25109.4339</v>
      </c>
      <c r="J120">
        <v>24317.7189</v>
      </c>
      <c r="K120">
        <f>INDEX(AF120:AH120,0,MATCH(Dashboard!$E$15,Lists!$AF$6:$AF$8,0))</f>
        <v>25707.951099999998</v>
      </c>
      <c r="M120" t="s">
        <v>56</v>
      </c>
      <c r="N120">
        <v>33.598620230230537</v>
      </c>
      <c r="O120">
        <v>35.998660734903623</v>
      </c>
      <c r="P120">
        <v>39.969321669106712</v>
      </c>
      <c r="Q120">
        <f ca="1">OFFSET(AR120,0,MATCH(Dashboard!$E$19,Lists!$AH$6:$AH$7,0)-1)</f>
        <v>85.441343943649613</v>
      </c>
      <c r="R120">
        <v>64.346131950713399</v>
      </c>
      <c r="S120">
        <f>INDEX(AF120:AN120,0,MATCH(Dashboard!$E$15,Lists!$AF$6:$AF$8,0)+3)</f>
        <v>94.015913241269828</v>
      </c>
      <c r="U120" t="s">
        <v>56</v>
      </c>
      <c r="V120">
        <v>3608.9629399999999</v>
      </c>
      <c r="W120">
        <v>3710.3754599999997</v>
      </c>
      <c r="X120">
        <v>3604.5536999999995</v>
      </c>
      <c r="Y120">
        <f ca="1">OFFSET(AT120,0,MATCH(Dashboard!$E$19,Lists!$AH$6:$AH$7,0)-1)</f>
        <v>3924.2235999999998</v>
      </c>
      <c r="Z120">
        <v>3653.0553399999999</v>
      </c>
      <c r="AA120">
        <f>INDEX(AF120:AN120,0,MATCH(Dashboard!$E$15,Lists!$AF$6:$AF$8,0)+6)</f>
        <v>3615.5767999999998</v>
      </c>
      <c r="AD120">
        <f t="shared" si="5"/>
        <v>0.74299999999999999</v>
      </c>
      <c r="AF120">
        <v>25707.951099999998</v>
      </c>
      <c r="AG120">
        <v>30647.838500000002</v>
      </c>
      <c r="AH120">
        <v>36209.5671</v>
      </c>
      <c r="AI120">
        <v>94.015913241269828</v>
      </c>
      <c r="AJ120">
        <v>87.961038460038779</v>
      </c>
      <c r="AK120">
        <v>83.854266573280356</v>
      </c>
      <c r="AL120">
        <v>3615.5767999999998</v>
      </c>
      <c r="AM120">
        <v>3935.2466999999997</v>
      </c>
      <c r="AN120">
        <v>4296.8043799999996</v>
      </c>
      <c r="AP120">
        <v>22936.6175</v>
      </c>
      <c r="AQ120">
        <v>25109.4339</v>
      </c>
      <c r="AR120">
        <v>80.541124449999828</v>
      </c>
      <c r="AS120">
        <v>85.441343943649613</v>
      </c>
      <c r="AT120">
        <v>3730.2170399999995</v>
      </c>
      <c r="AU120">
        <v>3924.2235999999998</v>
      </c>
    </row>
    <row r="121" spans="5:47" x14ac:dyDescent="0.45">
      <c r="E121" t="s">
        <v>59</v>
      </c>
      <c r="F121">
        <v>23838.030599999998</v>
      </c>
      <c r="G121">
        <v>24981.310099999999</v>
      </c>
      <c r="H121">
        <v>24140.913499999999</v>
      </c>
      <c r="I121">
        <f ca="1">OFFSET(AP121,0,MATCH(Dashboard!$E$19,Lists!$AH$6:$AH$7,0)-1)</f>
        <v>27252.238700000002</v>
      </c>
      <c r="J121">
        <v>26234.496899999998</v>
      </c>
      <c r="K121">
        <f>INDEX(AF121:AH121,0,MATCH(Dashboard!$E$15,Lists!$AF$6:$AF$8,0))</f>
        <v>28199.8374</v>
      </c>
      <c r="M121" t="s">
        <v>59</v>
      </c>
      <c r="N121">
        <v>31.894580661224957</v>
      </c>
      <c r="O121">
        <v>35.158607591027</v>
      </c>
      <c r="P121">
        <v>37.89601555896089</v>
      </c>
      <c r="Q121">
        <f ca="1">OFFSET(AR121,0,MATCH(Dashboard!$E$19,Lists!$AH$6:$AH$7,0)-1)</f>
        <v>79.243704335651969</v>
      </c>
      <c r="R121">
        <v>60.182827385596951</v>
      </c>
      <c r="S121">
        <f>INDEX(AF121:AN121,0,MATCH(Dashboard!$E$15,Lists!$AF$6:$AF$8,0)+3)</f>
        <v>86.929665290289833</v>
      </c>
      <c r="U121" t="s">
        <v>59</v>
      </c>
      <c r="V121">
        <v>3730.2170399999995</v>
      </c>
      <c r="W121">
        <v>3838.2434199999998</v>
      </c>
      <c r="X121">
        <v>3774.3094399999995</v>
      </c>
      <c r="Y121">
        <f ca="1">OFFSET(AT121,0,MATCH(Dashboard!$E$19,Lists!$AH$6:$AH$7,0)-1)</f>
        <v>4116.0255399999996</v>
      </c>
      <c r="Z121">
        <v>3800.7648799999997</v>
      </c>
      <c r="AA121">
        <f>INDEX(AF121:AN121,0,MATCH(Dashboard!$E$15,Lists!$AF$6:$AF$8,0)+6)</f>
        <v>3791.9463999999998</v>
      </c>
      <c r="AD121">
        <f t="shared" si="5"/>
        <v>0.74299999999999999</v>
      </c>
      <c r="AF121">
        <v>28199.8374</v>
      </c>
      <c r="AG121">
        <v>33511.185400000002</v>
      </c>
      <c r="AH121">
        <v>39477.538200000003</v>
      </c>
      <c r="AI121">
        <v>86.929665290289833</v>
      </c>
      <c r="AJ121">
        <v>81.372902030702519</v>
      </c>
      <c r="AK121">
        <v>77.635946801489851</v>
      </c>
      <c r="AL121">
        <v>3791.9463999999998</v>
      </c>
      <c r="AM121">
        <v>4138.0717399999994</v>
      </c>
      <c r="AN121">
        <v>4526.0848599999999</v>
      </c>
      <c r="AP121">
        <v>24957.446199999998</v>
      </c>
      <c r="AQ121">
        <v>27252.238700000002</v>
      </c>
      <c r="AR121">
        <v>74.623348313381328</v>
      </c>
      <c r="AS121">
        <v>79.243704335651969</v>
      </c>
      <c r="AT121">
        <v>3913.2004999999995</v>
      </c>
      <c r="AU121">
        <v>4116.0255399999996</v>
      </c>
    </row>
    <row r="122" spans="5:47" x14ac:dyDescent="0.45">
      <c r="E122" t="s">
        <v>60</v>
      </c>
      <c r="F122">
        <v>26557.034100000001</v>
      </c>
      <c r="G122">
        <v>28439.889299999999</v>
      </c>
      <c r="H122">
        <v>27666.262699999999</v>
      </c>
      <c r="I122">
        <f ca="1">OFFSET(AP122,0,MATCH(Dashboard!$E$19,Lists!$AH$6:$AH$7,0)-1)</f>
        <v>30593.716499999999</v>
      </c>
      <c r="J122">
        <v>31007.760200000001</v>
      </c>
      <c r="K122">
        <f>INDEX(AF122:AH122,0,MATCH(Dashboard!$E$15,Lists!$AF$6:$AF$8,0))</f>
        <v>31450.5226</v>
      </c>
      <c r="M122" t="s">
        <v>60</v>
      </c>
      <c r="N122">
        <v>26.717453712826227</v>
      </c>
      <c r="O122">
        <v>28.967985267467785</v>
      </c>
      <c r="P122">
        <v>30.90317559227044</v>
      </c>
      <c r="Q122">
        <f ca="1">OFFSET(AR122,0,MATCH(Dashboard!$E$19,Lists!$AH$6:$AH$7,0)-1)</f>
        <v>66.083536001576306</v>
      </c>
      <c r="R122">
        <v>48.613061245625126</v>
      </c>
      <c r="S122">
        <f>INDEX(AF122:AN122,0,MATCH(Dashboard!$E$15,Lists!$AF$6:$AF$8,0)+3)</f>
        <v>74.797609217713699</v>
      </c>
      <c r="U122" t="s">
        <v>60</v>
      </c>
      <c r="V122">
        <v>4237.2796399999997</v>
      </c>
      <c r="W122">
        <v>4365.1475999999993</v>
      </c>
      <c r="X122">
        <v>4228.4611599999998</v>
      </c>
      <c r="Y122">
        <f ca="1">OFFSET(AT122,0,MATCH(Dashboard!$E$19,Lists!$AH$6:$AH$7,0)-1)</f>
        <v>4612.0650399999995</v>
      </c>
      <c r="Z122">
        <v>4396.0122799999999</v>
      </c>
      <c r="AA122">
        <f>INDEX(AF122:AN122,0,MATCH(Dashboard!$E$15,Lists!$AF$6:$AF$8,0)+6)</f>
        <v>4217.4380599999995</v>
      </c>
      <c r="AD122">
        <f t="shared" si="5"/>
        <v>0.74299999999999999</v>
      </c>
      <c r="AF122">
        <v>31450.5226</v>
      </c>
      <c r="AG122">
        <v>38254.909899999999</v>
      </c>
      <c r="AH122">
        <v>44715.384899999997</v>
      </c>
      <c r="AI122">
        <v>74.797609217713699</v>
      </c>
      <c r="AJ122">
        <v>69.650822003995117</v>
      </c>
      <c r="AK122">
        <v>66.644422673920644</v>
      </c>
      <c r="AL122">
        <v>4217.4380599999995</v>
      </c>
      <c r="AM122">
        <v>4658.3620599999995</v>
      </c>
      <c r="AN122">
        <v>5079.4444799999992</v>
      </c>
      <c r="AP122">
        <v>27953.359700000001</v>
      </c>
      <c r="AQ122">
        <v>30593.716499999999</v>
      </c>
      <c r="AR122">
        <v>62.265470385758192</v>
      </c>
      <c r="AS122">
        <v>66.083536001576306</v>
      </c>
      <c r="AT122">
        <v>4373.9660799999992</v>
      </c>
      <c r="AU122">
        <v>4612.0650399999995</v>
      </c>
    </row>
    <row r="123" spans="5:47" x14ac:dyDescent="0.45">
      <c r="E123" t="s">
        <v>119</v>
      </c>
      <c r="F123">
        <v>15383.1126</v>
      </c>
      <c r="G123">
        <v>16602.206300000002</v>
      </c>
      <c r="H123">
        <v>15685.7883</v>
      </c>
      <c r="I123">
        <f ca="1">OFFSET(AP123,0,MATCH(Dashboard!$E$19,Lists!$AH$6:$AH$7,0)-1)</f>
        <v>18262.9607</v>
      </c>
      <c r="J123">
        <v>17692.142400000001</v>
      </c>
      <c r="K123">
        <f>INDEX(AF123:AH123,0,MATCH(Dashboard!$E$15,Lists!$AF$6:$AF$8,0))</f>
        <v>18186.103999999999</v>
      </c>
      <c r="M123" t="s">
        <v>119</v>
      </c>
      <c r="N123">
        <v>35.841853131742418</v>
      </c>
      <c r="O123">
        <v>37.539569409238489</v>
      </c>
      <c r="P123">
        <v>43.609097428781332</v>
      </c>
      <c r="Q123">
        <f ca="1">OFFSET(AR123,0,MATCH(Dashboard!$E$19,Lists!$AH$6:$AH$7,0)-1)</f>
        <v>96.000885483274146</v>
      </c>
      <c r="R123">
        <v>71.868602110527206</v>
      </c>
      <c r="S123">
        <f>INDEX(AF123:AN123,0,MATCH(Dashboard!$E$15,Lists!$AF$6:$AF$8,0)+3)</f>
        <v>107.48198062531766</v>
      </c>
      <c r="U123" t="s">
        <v>119</v>
      </c>
      <c r="V123">
        <v>3430.3887199999995</v>
      </c>
      <c r="W123">
        <v>3547.2335799999996</v>
      </c>
      <c r="X123">
        <v>3423.7748599999995</v>
      </c>
      <c r="Y123">
        <f ca="1">OFFSET(AT123,0,MATCH(Dashboard!$E$19,Lists!$AH$6:$AH$7,0)-1)</f>
        <v>3712.5800799999997</v>
      </c>
      <c r="Z123">
        <v>3481.0949799999999</v>
      </c>
      <c r="AA123">
        <f>INDEX(AF123:AN123,0,MATCH(Dashboard!$E$15,Lists!$AF$6:$AF$8,0)+6)</f>
        <v>3397.3194199999998</v>
      </c>
      <c r="AD123">
        <f t="shared" si="5"/>
        <v>0.74299999999999999</v>
      </c>
      <c r="AF123">
        <v>18186.103999999999</v>
      </c>
      <c r="AG123">
        <v>22577.224200000001</v>
      </c>
      <c r="AH123">
        <v>27437.635999999999</v>
      </c>
      <c r="AI123">
        <v>107.48198062531766</v>
      </c>
      <c r="AJ123">
        <v>100.14003975034312</v>
      </c>
      <c r="AK123">
        <v>95.469169156057646</v>
      </c>
      <c r="AL123">
        <v>3397.3194199999998</v>
      </c>
      <c r="AM123">
        <v>3683.9200199999996</v>
      </c>
      <c r="AN123">
        <v>3999.1806799999995</v>
      </c>
      <c r="AP123">
        <v>16177.151</v>
      </c>
      <c r="AQ123">
        <v>18262.9607</v>
      </c>
      <c r="AR123">
        <v>91.018106148809764</v>
      </c>
      <c r="AS123">
        <v>96.000885483274146</v>
      </c>
      <c r="AT123">
        <v>3531.8012399999998</v>
      </c>
      <c r="AU123">
        <v>3712.5800799999997</v>
      </c>
    </row>
    <row r="124" spans="5:47" x14ac:dyDescent="0.45">
      <c r="E124" t="s">
        <v>120</v>
      </c>
      <c r="F124">
        <v>20392.041399999998</v>
      </c>
      <c r="G124">
        <v>22381.085500000001</v>
      </c>
      <c r="H124">
        <v>20814.890899999999</v>
      </c>
      <c r="I124">
        <f ca="1">OFFSET(AP124,0,MATCH(Dashboard!$E$19,Lists!$AH$6:$AH$7,0)-1)</f>
        <v>23444.3262</v>
      </c>
      <c r="J124">
        <v>24264.810300000001</v>
      </c>
      <c r="K124">
        <f>INDEX(AF124:AH124,0,MATCH(Dashboard!$E$15,Lists!$AF$6:$AF$8,0))</f>
        <v>22820.8495</v>
      </c>
      <c r="M124" t="s">
        <v>120</v>
      </c>
      <c r="N124">
        <v>29.843294798080205</v>
      </c>
      <c r="O124">
        <v>32.024497302060588</v>
      </c>
      <c r="P124">
        <v>38.464569280493947</v>
      </c>
      <c r="Q124">
        <f ca="1">OFFSET(AR124,0,MATCH(Dashboard!$E$19,Lists!$AH$6:$AH$7,0)-1)</f>
        <v>88.613730180937978</v>
      </c>
      <c r="R124">
        <v>62.838802644682758</v>
      </c>
      <c r="S124">
        <f>INDEX(AF124:AN124,0,MATCH(Dashboard!$E$15,Lists!$AF$6:$AF$8,0)+3)</f>
        <v>101.51458923905328</v>
      </c>
      <c r="U124" t="s">
        <v>120</v>
      </c>
      <c r="V124">
        <v>3884.5404399999998</v>
      </c>
      <c r="W124">
        <v>4030.0453599999996</v>
      </c>
      <c r="X124">
        <v>3847.0618999999997</v>
      </c>
      <c r="Y124">
        <f ca="1">OFFSET(AT124,0,MATCH(Dashboard!$E$19,Lists!$AH$6:$AH$7,0)-1)</f>
        <v>4151.2994599999993</v>
      </c>
      <c r="Z124">
        <v>4014.6130199999998</v>
      </c>
      <c r="AA124">
        <f>INDEX(AF124:AN124,0,MATCH(Dashboard!$E$15,Lists!$AF$6:$AF$8,0)+6)</f>
        <v>3754.4678599999997</v>
      </c>
      <c r="AD124">
        <f t="shared" si="5"/>
        <v>0.74299999999999999</v>
      </c>
      <c r="AF124">
        <v>22820.8495</v>
      </c>
      <c r="AG124">
        <v>27504.076300000001</v>
      </c>
      <c r="AH124">
        <v>32650.8992</v>
      </c>
      <c r="AI124">
        <v>101.51458923905328</v>
      </c>
      <c r="AJ124">
        <v>94.21347288055992</v>
      </c>
      <c r="AK124">
        <v>89.817248361014805</v>
      </c>
      <c r="AL124">
        <v>3754.4678599999997</v>
      </c>
      <c r="AM124">
        <v>4060.9100399999998</v>
      </c>
      <c r="AN124">
        <v>4393.8076599999995</v>
      </c>
      <c r="AP124">
        <v>21272.061300000001</v>
      </c>
      <c r="AQ124">
        <v>23444.3262</v>
      </c>
      <c r="AR124">
        <v>83.752199072891855</v>
      </c>
      <c r="AS124">
        <v>88.613730180937978</v>
      </c>
      <c r="AT124">
        <v>3961.7021399999994</v>
      </c>
      <c r="AU124">
        <v>4151.2994599999993</v>
      </c>
    </row>
    <row r="125" spans="5:47" x14ac:dyDescent="0.45">
      <c r="E125" t="s">
        <v>121</v>
      </c>
      <c r="F125">
        <v>22468.644400000001</v>
      </c>
      <c r="G125">
        <v>24601.214599999999</v>
      </c>
      <c r="H125">
        <v>23302.7608</v>
      </c>
      <c r="I125">
        <f ca="1">OFFSET(AP125,0,MATCH(Dashboard!$E$19,Lists!$AH$6:$AH$7,0)-1)</f>
        <v>25936.083200000001</v>
      </c>
      <c r="J125">
        <v>26234.747299999999</v>
      </c>
      <c r="K125">
        <f>INDEX(AF125:AH125,0,MATCH(Dashboard!$E$15,Lists!$AF$6:$AF$8,0))</f>
        <v>26388.093499999999</v>
      </c>
      <c r="M125" t="s">
        <v>121</v>
      </c>
      <c r="N125">
        <v>30.763023721044316</v>
      </c>
      <c r="O125">
        <v>33.230824233294719</v>
      </c>
      <c r="P125">
        <v>36.607612155322983</v>
      </c>
      <c r="Q125">
        <f ca="1">OFFSET(AR125,0,MATCH(Dashboard!$E$19,Lists!$AH$6:$AH$7,0)-1)</f>
        <v>80.183687634677071</v>
      </c>
      <c r="R125">
        <v>58.930140362804877</v>
      </c>
      <c r="S125">
        <f>INDEX(AF125:AN125,0,MATCH(Dashboard!$E$15,Lists!$AF$6:$AF$8,0)+3)</f>
        <v>90.311319325682248</v>
      </c>
      <c r="U125" t="s">
        <v>121</v>
      </c>
      <c r="V125">
        <v>3888.9496799999997</v>
      </c>
      <c r="W125">
        <v>4012.4083999999998</v>
      </c>
      <c r="X125">
        <v>3891.1542999999997</v>
      </c>
      <c r="Y125">
        <f ca="1">OFFSET(AT125,0,MATCH(Dashboard!$E$19,Lists!$AH$6:$AH$7,0)-1)</f>
        <v>4224.0519199999999</v>
      </c>
      <c r="Z125">
        <v>3992.5668199999996</v>
      </c>
      <c r="AA125">
        <f>INDEX(AF125:AN125,0,MATCH(Dashboard!$E$15,Lists!$AF$6:$AF$8,0)+6)</f>
        <v>3836.0387999999998</v>
      </c>
      <c r="AD125">
        <f t="shared" si="5"/>
        <v>0.74299999999999999</v>
      </c>
      <c r="AF125">
        <v>26388.093499999999</v>
      </c>
      <c r="AG125">
        <v>31587.422600000002</v>
      </c>
      <c r="AH125">
        <v>37402.956700000002</v>
      </c>
      <c r="AI125">
        <v>90.311319325682248</v>
      </c>
      <c r="AJ125">
        <v>84.301515850696077</v>
      </c>
      <c r="AK125">
        <v>80.274656314450382</v>
      </c>
      <c r="AL125">
        <v>3836.0387999999998</v>
      </c>
      <c r="AM125">
        <v>4175.5502799999995</v>
      </c>
      <c r="AN125">
        <v>4552.5402999999997</v>
      </c>
      <c r="AP125">
        <v>23855.782999999999</v>
      </c>
      <c r="AQ125">
        <v>25936.083200000001</v>
      </c>
      <c r="AR125">
        <v>74.763157220912134</v>
      </c>
      <c r="AS125">
        <v>80.183687634677071</v>
      </c>
      <c r="AT125">
        <v>4023.4314999999997</v>
      </c>
      <c r="AU125">
        <v>4224.0519199999999</v>
      </c>
    </row>
    <row r="126" spans="5:47" x14ac:dyDescent="0.45">
      <c r="E126" t="s">
        <v>122</v>
      </c>
      <c r="F126">
        <v>24939.6139</v>
      </c>
      <c r="G126">
        <v>26798.198799999998</v>
      </c>
      <c r="H126">
        <v>25625.241900000001</v>
      </c>
      <c r="I126">
        <f ca="1">OFFSET(AP126,0,MATCH(Dashboard!$E$19,Lists!$AH$6:$AH$7,0)-1)</f>
        <v>28713.675899999998</v>
      </c>
      <c r="J126">
        <v>29175.966799999998</v>
      </c>
      <c r="K126">
        <f>INDEX(AF126:AH126,0,MATCH(Dashboard!$E$15,Lists!$AF$6:$AF$8,0))</f>
        <v>29416.584699999999</v>
      </c>
      <c r="M126" t="s">
        <v>122</v>
      </c>
      <c r="N126">
        <v>27.958602796083841</v>
      </c>
      <c r="O126">
        <v>30.496521154065764</v>
      </c>
      <c r="P126">
        <v>33.373841856675845</v>
      </c>
      <c r="Q126">
        <f ca="1">OFFSET(AR126,0,MATCH(Dashboard!$E$19,Lists!$AH$6:$AH$7,0)-1)</f>
        <v>72.166149078977426</v>
      </c>
      <c r="R126">
        <v>52.809808798141404</v>
      </c>
      <c r="S126">
        <f>INDEX(AF126:AN126,0,MATCH(Dashboard!$E$15,Lists!$AF$6:$AF$8,0)+3)</f>
        <v>81.271885116801485</v>
      </c>
      <c r="U126" t="s">
        <v>122</v>
      </c>
      <c r="V126">
        <v>4281.3720399999993</v>
      </c>
      <c r="W126">
        <v>4415.8538599999993</v>
      </c>
      <c r="X126">
        <v>4301.2136199999995</v>
      </c>
      <c r="Y126">
        <f ca="1">OFFSET(AT126,0,MATCH(Dashboard!$E$19,Lists!$AH$6:$AH$7,0)-1)</f>
        <v>4664.9759199999999</v>
      </c>
      <c r="Z126">
        <v>4448.9231599999994</v>
      </c>
      <c r="AA126">
        <f>INDEX(AF126:AN126,0,MATCH(Dashboard!$E$15,Lists!$AF$6:$AF$8,0)+6)</f>
        <v>4274.7581799999998</v>
      </c>
      <c r="AD126">
        <f t="shared" si="5"/>
        <v>0.74299999999999999</v>
      </c>
      <c r="AF126">
        <v>29416.584699999999</v>
      </c>
      <c r="AG126">
        <v>35186.367400000003</v>
      </c>
      <c r="AH126">
        <v>41664.943299999999</v>
      </c>
      <c r="AI126">
        <v>81.271885116801485</v>
      </c>
      <c r="AJ126">
        <v>75.870831881836196</v>
      </c>
      <c r="AK126">
        <v>72.242091678549542</v>
      </c>
      <c r="AL126">
        <v>4274.7581799999998</v>
      </c>
      <c r="AM126">
        <v>4649.5435799999996</v>
      </c>
      <c r="AN126">
        <v>5070.6259999999993</v>
      </c>
      <c r="AP126">
        <v>26222.411</v>
      </c>
      <c r="AQ126">
        <v>28713.675899999998</v>
      </c>
      <c r="AR126">
        <v>67.297803918376687</v>
      </c>
      <c r="AS126">
        <v>72.166149078977426</v>
      </c>
      <c r="AT126">
        <v>4444.5139199999994</v>
      </c>
      <c r="AU126">
        <v>4664.9759199999999</v>
      </c>
    </row>
    <row r="127" spans="5:47" x14ac:dyDescent="0.45">
      <c r="E127" t="s">
        <v>123</v>
      </c>
      <c r="F127">
        <v>26859.127400000001</v>
      </c>
      <c r="G127">
        <v>28757.805400000001</v>
      </c>
      <c r="H127">
        <v>28454.954399999999</v>
      </c>
      <c r="I127">
        <f ca="1">OFFSET(AP127,0,MATCH(Dashboard!$E$19,Lists!$AH$6:$AH$7,0)-1)</f>
        <v>31158.647099999998</v>
      </c>
      <c r="J127">
        <v>32237.1185</v>
      </c>
      <c r="K127">
        <f>INDEX(AF127:AH127,0,MATCH(Dashboard!$E$15,Lists!$AF$6:$AF$8,0))</f>
        <v>32653.930100000001</v>
      </c>
      <c r="M127" t="s">
        <v>123</v>
      </c>
      <c r="N127">
        <v>24.61520106021673</v>
      </c>
      <c r="O127">
        <v>26.887226885224134</v>
      </c>
      <c r="P127">
        <v>28.895028488992715</v>
      </c>
      <c r="Q127">
        <f ca="1">OFFSET(AR127,0,MATCH(Dashboard!$E$19,Lists!$AH$6:$AH$7,0)-1)</f>
        <v>61.893053440721509</v>
      </c>
      <c r="R127">
        <v>44.991564928721182</v>
      </c>
      <c r="S127">
        <f>INDEX(AF127:AN127,0,MATCH(Dashboard!$E$15,Lists!$AF$6:$AF$8,0)+3)</f>
        <v>69.46687561230614</v>
      </c>
      <c r="U127" t="s">
        <v>123</v>
      </c>
      <c r="V127">
        <v>4850.1639999999998</v>
      </c>
      <c r="W127">
        <v>5002.2827799999995</v>
      </c>
      <c r="X127">
        <v>4799.4577399999998</v>
      </c>
      <c r="Y127">
        <f ca="1">OFFSET(AT127,0,MATCH(Dashboard!$E$19,Lists!$AH$6:$AH$7,0)-1)</f>
        <v>5196.2893399999994</v>
      </c>
      <c r="Z127">
        <v>5037.5566999999992</v>
      </c>
      <c r="AA127">
        <f>INDEX(AF127:AN127,0,MATCH(Dashboard!$E$15,Lists!$AF$6:$AF$8,0)+6)</f>
        <v>4834.7316599999995</v>
      </c>
      <c r="AD127">
        <f t="shared" si="5"/>
        <v>0.74299999999999999</v>
      </c>
      <c r="AF127">
        <v>32653.930100000001</v>
      </c>
      <c r="AG127">
        <v>39362.624900000003</v>
      </c>
      <c r="AH127">
        <v>46967.275800000003</v>
      </c>
      <c r="AI127">
        <v>69.46687561230614</v>
      </c>
      <c r="AJ127">
        <v>64.951534502196708</v>
      </c>
      <c r="AK127">
        <v>61.864315778251502</v>
      </c>
      <c r="AL127">
        <v>4834.7316599999995</v>
      </c>
      <c r="AM127">
        <v>5266.8371799999995</v>
      </c>
      <c r="AN127">
        <v>5762.8766799999994</v>
      </c>
      <c r="AP127">
        <v>28359.746299999999</v>
      </c>
      <c r="AQ127">
        <v>31158.647099999998</v>
      </c>
      <c r="AR127">
        <v>57.857814418925187</v>
      </c>
      <c r="AS127">
        <v>61.893053440721509</v>
      </c>
      <c r="AT127">
        <v>4944.9626599999992</v>
      </c>
      <c r="AU127">
        <v>5196.2893399999994</v>
      </c>
    </row>
    <row r="128" spans="5:47" x14ac:dyDescent="0.45">
      <c r="E128" t="s">
        <v>115</v>
      </c>
      <c r="G128">
        <v>151387.77226177265</v>
      </c>
      <c r="H128">
        <v>157915.05402028564</v>
      </c>
      <c r="I128">
        <v>284650.61616476771</v>
      </c>
      <c r="J128">
        <v>215523.04036777138</v>
      </c>
      <c r="K128">
        <v>403711.84706264152</v>
      </c>
      <c r="M128" t="s">
        <v>115</v>
      </c>
      <c r="O128">
        <v>8.1425972210658148</v>
      </c>
      <c r="P128">
        <v>7.9718926587286898</v>
      </c>
      <c r="Q128">
        <v>8.1826770753245128</v>
      </c>
      <c r="R128">
        <v>7.9973699846325133</v>
      </c>
      <c r="S128">
        <v>13.950354235073039</v>
      </c>
      <c r="U128" t="s">
        <v>115</v>
      </c>
      <c r="W128">
        <v>66676.480688548138</v>
      </c>
      <c r="X128">
        <v>66373.819506824992</v>
      </c>
      <c r="Y128">
        <v>71888.800783764498</v>
      </c>
      <c r="Z128">
        <v>67255.843499491253</v>
      </c>
      <c r="AA128">
        <v>73635.756839975948</v>
      </c>
      <c r="AC128">
        <v>38612.302652153994</v>
      </c>
      <c r="AD128">
        <v>0.30587811970821221</v>
      </c>
    </row>
    <row r="129" spans="5:47" x14ac:dyDescent="0.45">
      <c r="E129" t="s">
        <v>116</v>
      </c>
      <c r="G129">
        <v>129164.69319946134</v>
      </c>
      <c r="H129">
        <v>135011.74033631815</v>
      </c>
      <c r="I129">
        <v>195561.28460247329</v>
      </c>
      <c r="J129">
        <v>181606.61384184656</v>
      </c>
      <c r="K129">
        <v>244428.05655912284</v>
      </c>
      <c r="M129" t="s">
        <v>116</v>
      </c>
      <c r="O129">
        <v>7.5935338694634202</v>
      </c>
      <c r="P129">
        <v>7.6611827538930086</v>
      </c>
      <c r="Q129">
        <v>8.2173821882657556</v>
      </c>
      <c r="R129">
        <v>7.7119819488586847</v>
      </c>
      <c r="S129">
        <v>14.355732179703503</v>
      </c>
      <c r="U129" t="s">
        <v>116</v>
      </c>
      <c r="W129">
        <v>64339.465358435584</v>
      </c>
      <c r="X129">
        <v>64013.230746392634</v>
      </c>
      <c r="Y129">
        <v>67005.508884412891</v>
      </c>
      <c r="Z129">
        <v>63646.535790186281</v>
      </c>
      <c r="AA129">
        <v>66126.671202134239</v>
      </c>
      <c r="AC129">
        <v>38563.947839845991</v>
      </c>
      <c r="AD129">
        <v>0.35611331429449911</v>
      </c>
    </row>
    <row r="130" spans="5:47" x14ac:dyDescent="0.45">
      <c r="E130" t="s">
        <v>117</v>
      </c>
      <c r="G130">
        <v>102420.17783647096</v>
      </c>
      <c r="H130">
        <v>107017.49402116405</v>
      </c>
      <c r="I130">
        <v>152204.8226327337</v>
      </c>
      <c r="J130">
        <v>129492.77222353831</v>
      </c>
      <c r="K130">
        <v>187001.93951267612</v>
      </c>
      <c r="M130" t="s">
        <v>117</v>
      </c>
      <c r="O130">
        <v>8.1860452432855304</v>
      </c>
      <c r="P130">
        <v>9.330384868887764</v>
      </c>
      <c r="Q130">
        <v>14.255036756248565</v>
      </c>
      <c r="R130">
        <v>11.662601805088658</v>
      </c>
      <c r="S130">
        <v>21.142276044896963</v>
      </c>
      <c r="U130" t="s">
        <v>117</v>
      </c>
      <c r="W130">
        <v>41018.230772982948</v>
      </c>
      <c r="X130">
        <v>40473.114628277894</v>
      </c>
      <c r="Y130">
        <v>43699.754860969624</v>
      </c>
      <c r="Z130">
        <v>40671.525933506098</v>
      </c>
      <c r="AA130">
        <v>42859.233613215096</v>
      </c>
      <c r="AC130">
        <v>15563.000552153999</v>
      </c>
      <c r="AD130">
        <v>0.62099104971225616</v>
      </c>
    </row>
    <row r="131" spans="5:47" x14ac:dyDescent="0.45">
      <c r="E131" t="s">
        <v>124</v>
      </c>
      <c r="G131">
        <v>76227.815782940612</v>
      </c>
      <c r="H131">
        <v>80943.54054042678</v>
      </c>
      <c r="I131">
        <v>105741.84762104735</v>
      </c>
      <c r="J131">
        <v>95226.905468315614</v>
      </c>
      <c r="K131">
        <v>117085.75291455204</v>
      </c>
      <c r="M131" t="s">
        <v>124</v>
      </c>
      <c r="O131">
        <v>11.90145665327795</v>
      </c>
      <c r="P131">
        <v>13.985859376585204</v>
      </c>
      <c r="Q131">
        <v>22.262917708643077</v>
      </c>
      <c r="R131">
        <v>18.512018579370999</v>
      </c>
      <c r="S131">
        <v>33.317810875402216</v>
      </c>
      <c r="U131" t="s">
        <v>124</v>
      </c>
      <c r="W131">
        <v>23195.343926486625</v>
      </c>
      <c r="X131">
        <v>22716.503100439379</v>
      </c>
      <c r="Y131">
        <v>25077.285542666134</v>
      </c>
      <c r="Z131">
        <v>22497.990657713701</v>
      </c>
      <c r="AA131">
        <v>23421.127822782662</v>
      </c>
      <c r="AC131">
        <v>11514.151988173999</v>
      </c>
      <c r="AD131">
        <v>0.68741976882289535</v>
      </c>
    </row>
    <row r="132" spans="5:47" x14ac:dyDescent="0.45">
      <c r="E132" t="s">
        <v>125</v>
      </c>
      <c r="G132">
        <v>62436.837650616086</v>
      </c>
      <c r="H132">
        <v>64533.734934252221</v>
      </c>
      <c r="I132">
        <v>74150.410754237295</v>
      </c>
      <c r="J132">
        <v>72433.06701638794</v>
      </c>
      <c r="K132">
        <v>80431.935702885938</v>
      </c>
      <c r="M132" t="s">
        <v>125</v>
      </c>
      <c r="O132">
        <v>15.286405916157257</v>
      </c>
      <c r="P132">
        <v>20.333804491236599</v>
      </c>
      <c r="Q132">
        <v>28.531699648125489</v>
      </c>
      <c r="R132">
        <v>29.512071764275586</v>
      </c>
      <c r="S132">
        <v>53.390372168024676</v>
      </c>
      <c r="U132" t="s">
        <v>125</v>
      </c>
      <c r="W132">
        <v>15357.160627590685</v>
      </c>
      <c r="X132">
        <v>13285.9925400715</v>
      </c>
      <c r="Y132">
        <v>14607.487631650596</v>
      </c>
      <c r="Z132">
        <v>12669.956567315914</v>
      </c>
      <c r="AA132">
        <v>13262.470208991605</v>
      </c>
      <c r="AC132">
        <v>6208.2612876459989</v>
      </c>
      <c r="AD132">
        <v>0.61342300533713057</v>
      </c>
    </row>
    <row r="133" spans="5:47" x14ac:dyDescent="0.45">
      <c r="E133" t="s">
        <v>118</v>
      </c>
      <c r="M133" t="s">
        <v>118</v>
      </c>
      <c r="U133" t="s">
        <v>118</v>
      </c>
      <c r="AD133">
        <v>0</v>
      </c>
    </row>
    <row r="134" spans="5:47" x14ac:dyDescent="0.45">
      <c r="E134" t="s">
        <v>138</v>
      </c>
      <c r="M134" t="s">
        <v>138</v>
      </c>
      <c r="U134" t="s">
        <v>138</v>
      </c>
      <c r="AD134">
        <v>0</v>
      </c>
    </row>
    <row r="137" spans="5:47" x14ac:dyDescent="0.45">
      <c r="E137" t="s">
        <v>130</v>
      </c>
      <c r="F137" t="s">
        <v>42</v>
      </c>
      <c r="G137" t="s">
        <v>43</v>
      </c>
      <c r="H137" t="s">
        <v>427</v>
      </c>
      <c r="I137" t="s">
        <v>44</v>
      </c>
      <c r="J137" t="s">
        <v>45</v>
      </c>
      <c r="K137" t="s">
        <v>46</v>
      </c>
      <c r="M137" t="s">
        <v>130</v>
      </c>
      <c r="N137" t="s">
        <v>42</v>
      </c>
      <c r="O137" t="s">
        <v>43</v>
      </c>
      <c r="P137" t="s">
        <v>427</v>
      </c>
      <c r="Q137" t="s">
        <v>44</v>
      </c>
      <c r="R137" t="s">
        <v>45</v>
      </c>
      <c r="S137" t="s">
        <v>46</v>
      </c>
      <c r="U137" t="s">
        <v>130</v>
      </c>
      <c r="V137" t="s">
        <v>42</v>
      </c>
      <c r="W137" t="s">
        <v>43</v>
      </c>
      <c r="X137" t="s">
        <v>427</v>
      </c>
      <c r="Y137" t="s">
        <v>44</v>
      </c>
      <c r="Z137" t="s">
        <v>45</v>
      </c>
      <c r="AA137" t="s">
        <v>46</v>
      </c>
      <c r="AC137" t="s">
        <v>464</v>
      </c>
      <c r="AD137" t="s">
        <v>234</v>
      </c>
      <c r="AF137" t="s">
        <v>164</v>
      </c>
      <c r="AG137" t="s">
        <v>165</v>
      </c>
      <c r="AH137" t="s">
        <v>166</v>
      </c>
      <c r="AI137" t="s">
        <v>167</v>
      </c>
      <c r="AJ137" t="s">
        <v>168</v>
      </c>
      <c r="AK137" t="s">
        <v>169</v>
      </c>
      <c r="AL137" t="s">
        <v>418</v>
      </c>
      <c r="AM137" t="s">
        <v>419</v>
      </c>
      <c r="AN137" t="s">
        <v>420</v>
      </c>
      <c r="AP137" t="s">
        <v>173</v>
      </c>
      <c r="AQ137" t="s">
        <v>174</v>
      </c>
      <c r="AR137" t="s">
        <v>176</v>
      </c>
      <c r="AS137" t="s">
        <v>175</v>
      </c>
      <c r="AT137" t="s">
        <v>416</v>
      </c>
      <c r="AU137" t="s">
        <v>417</v>
      </c>
    </row>
    <row r="138" spans="5:47" x14ac:dyDescent="0.45">
      <c r="E138" t="s">
        <v>57</v>
      </c>
      <c r="F138">
        <v>14136.713</v>
      </c>
      <c r="G138">
        <v>15385.0857</v>
      </c>
      <c r="H138">
        <v>14172.64</v>
      </c>
      <c r="I138">
        <f ca="1">OFFSET(AP138,0,MATCH(Dashboard!$E$19,Lists!$AH$6:$AH$7,0)-1)</f>
        <v>16132.8465</v>
      </c>
      <c r="J138">
        <v>15342.3577</v>
      </c>
      <c r="K138">
        <f>INDEX(AF138:AH138,0,MATCH(Dashboard!$E$15,Lists!$AF$6:$AF$8,0))</f>
        <v>15612.4828</v>
      </c>
      <c r="M138" t="s">
        <v>57</v>
      </c>
      <c r="N138">
        <v>43.090252191620905</v>
      </c>
      <c r="O138">
        <v>44.408795701124724</v>
      </c>
      <c r="P138">
        <v>53.086591423142863</v>
      </c>
      <c r="Q138">
        <f ca="1">OFFSET(AR138,0,MATCH(Dashboard!$E$19,Lists!$AH$6:$AH$7,0)-1)</f>
        <v>113.90797713987448</v>
      </c>
      <c r="R138">
        <v>86.486024892617408</v>
      </c>
      <c r="S138">
        <f>INDEX(AF138:AN138,0,MATCH(Dashboard!$E$15,Lists!$AF$6:$AF$8,0)+3)</f>
        <v>126.70634751365951</v>
      </c>
      <c r="U138" t="s">
        <v>57</v>
      </c>
      <c r="V138">
        <v>3181.2666599999998</v>
      </c>
      <c r="W138">
        <v>3291.4976599999995</v>
      </c>
      <c r="X138">
        <v>3196.6989999999996</v>
      </c>
      <c r="Y138">
        <f ca="1">OFFSET(AT138,0,MATCH(Dashboard!$E$19,Lists!$AH$6:$AH$7,0)-1)</f>
        <v>3434.7979599999999</v>
      </c>
      <c r="Z138">
        <v>3181.2666599999998</v>
      </c>
      <c r="AA138">
        <f>INDEX(AF138:AN138,0,MATCH(Dashboard!$E$15,Lists!$AF$6:$AF$8,0)+6)</f>
        <v>3097.4910999999997</v>
      </c>
      <c r="AD138">
        <f t="shared" ref="AD138:AD147" si="6">$AG$14</f>
        <v>0.74299999999999999</v>
      </c>
      <c r="AF138">
        <v>15612.4828</v>
      </c>
      <c r="AG138">
        <v>18680.0144</v>
      </c>
      <c r="AH138">
        <v>22012.573</v>
      </c>
      <c r="AI138">
        <v>126.70634751365951</v>
      </c>
      <c r="AJ138">
        <v>118.63240090059027</v>
      </c>
      <c r="AK138">
        <v>114.41385384430224</v>
      </c>
      <c r="AL138">
        <v>3097.4910999999997</v>
      </c>
      <c r="AM138">
        <v>3295.9068999999995</v>
      </c>
      <c r="AN138">
        <v>3514.1642799999995</v>
      </c>
      <c r="AP138">
        <v>14571.732099999999</v>
      </c>
      <c r="AQ138">
        <v>16132.8465</v>
      </c>
      <c r="AR138">
        <v>107.13823991905141</v>
      </c>
      <c r="AS138">
        <v>113.90797713987448</v>
      </c>
      <c r="AT138">
        <v>3284.8837999999996</v>
      </c>
      <c r="AU138">
        <v>3434.7979599999999</v>
      </c>
    </row>
    <row r="139" spans="5:47" x14ac:dyDescent="0.45">
      <c r="E139" t="s">
        <v>58</v>
      </c>
      <c r="F139">
        <v>18093.616699999999</v>
      </c>
      <c r="G139">
        <v>19366.039700000001</v>
      </c>
      <c r="H139">
        <v>18234.134399999999</v>
      </c>
      <c r="I139">
        <f ca="1">OFFSET(AP139,0,MATCH(Dashboard!$E$19,Lists!$AH$6:$AH$7,0)-1)</f>
        <v>20291.505700000002</v>
      </c>
      <c r="J139">
        <v>19895.473900000001</v>
      </c>
      <c r="K139">
        <f>INDEX(AF139:AH139,0,MATCH(Dashboard!$E$15,Lists!$AF$6:$AF$8,0))</f>
        <v>19659.673599999998</v>
      </c>
      <c r="M139" t="s">
        <v>58</v>
      </c>
      <c r="N139">
        <v>39.275492776825125</v>
      </c>
      <c r="O139">
        <v>41.157577109780583</v>
      </c>
      <c r="P139">
        <v>49.149343630290609</v>
      </c>
      <c r="Q139">
        <f ca="1">OFFSET(AR139,0,MATCH(Dashboard!$E$19,Lists!$AH$6:$AH$7,0)-1)</f>
        <v>106.57153658851796</v>
      </c>
      <c r="R139">
        <v>79.506276724156365</v>
      </c>
      <c r="S139">
        <f>INDEX(AF139:AN139,0,MATCH(Dashboard!$E$15,Lists!$AF$6:$AF$8,0)+3)</f>
        <v>120.16296484074225</v>
      </c>
      <c r="U139" t="s">
        <v>58</v>
      </c>
      <c r="V139">
        <v>3631.0091399999997</v>
      </c>
      <c r="W139">
        <v>3734.6262799999995</v>
      </c>
      <c r="X139">
        <v>3597.9398399999995</v>
      </c>
      <c r="Y139">
        <f ca="1">OFFSET(AT139,0,MATCH(Dashboard!$E$19,Lists!$AH$6:$AH$7,0)-1)</f>
        <v>3849.2665199999997</v>
      </c>
      <c r="Z139">
        <v>3611.1675599999999</v>
      </c>
      <c r="AA139">
        <f>INDEX(AF139:AN139,0,MATCH(Dashboard!$E$15,Lists!$AF$6:$AF$8,0)+6)</f>
        <v>3472.2764999999995</v>
      </c>
      <c r="AD139">
        <f t="shared" si="6"/>
        <v>0.74299999999999999</v>
      </c>
      <c r="AF139">
        <v>19659.673599999998</v>
      </c>
      <c r="AG139">
        <v>23136.038799999998</v>
      </c>
      <c r="AH139">
        <v>26691.294699999999</v>
      </c>
      <c r="AI139">
        <v>120.16296484074225</v>
      </c>
      <c r="AJ139">
        <v>111.38395415494961</v>
      </c>
      <c r="AK139">
        <v>107.38314991168635</v>
      </c>
      <c r="AL139">
        <v>3472.2764999999995</v>
      </c>
      <c r="AM139">
        <v>3697.1477399999999</v>
      </c>
      <c r="AN139">
        <v>3930.8374599999997</v>
      </c>
      <c r="AP139">
        <v>18636.582600000002</v>
      </c>
      <c r="AQ139">
        <v>20291.505700000002</v>
      </c>
      <c r="AR139">
        <v>100.26981158551568</v>
      </c>
      <c r="AS139">
        <v>106.57153658851796</v>
      </c>
      <c r="AT139">
        <v>3692.7384999999995</v>
      </c>
      <c r="AU139">
        <v>3849.2665199999997</v>
      </c>
    </row>
    <row r="140" spans="5:47" x14ac:dyDescent="0.45">
      <c r="E140" t="s">
        <v>56</v>
      </c>
      <c r="F140">
        <v>21506.271000000001</v>
      </c>
      <c r="G140">
        <v>22763.887699999999</v>
      </c>
      <c r="H140">
        <v>21738.4794</v>
      </c>
      <c r="I140">
        <f ca="1">OFFSET(AP140,0,MATCH(Dashboard!$E$19,Lists!$AH$6:$AH$7,0)-1)</f>
        <v>23807.822700000001</v>
      </c>
      <c r="J140">
        <v>23437.560600000001</v>
      </c>
      <c r="K140">
        <f>INDEX(AF140:AH140,0,MATCH(Dashboard!$E$15,Lists!$AF$6:$AF$8,0))</f>
        <v>23784.014999999999</v>
      </c>
      <c r="M140" t="s">
        <v>56</v>
      </c>
      <c r="N140">
        <v>37.836801551154053</v>
      </c>
      <c r="O140">
        <v>40.211874458570229</v>
      </c>
      <c r="P140">
        <v>45.559973643744875</v>
      </c>
      <c r="Q140">
        <f ca="1">OFFSET(AR140,0,MATCH(Dashboard!$E$19,Lists!$AH$6:$AH$7,0)-1)</f>
        <v>96.199379861693458</v>
      </c>
      <c r="R140">
        <v>72.237009636271623</v>
      </c>
      <c r="S140">
        <f>INDEX(AF140:AN140,0,MATCH(Dashboard!$E$15,Lists!$AF$6:$AF$8,0)+3)</f>
        <v>107.03073641417691</v>
      </c>
      <c r="U140" t="s">
        <v>56</v>
      </c>
      <c r="V140">
        <v>3494.3226999999997</v>
      </c>
      <c r="W140">
        <v>3597.9398399999995</v>
      </c>
      <c r="X140">
        <v>3487.7088399999998</v>
      </c>
      <c r="Y140">
        <f ca="1">OFFSET(AT140,0,MATCH(Dashboard!$E$19,Lists!$AH$6:$AH$7,0)-1)</f>
        <v>3758.8770999999997</v>
      </c>
      <c r="Z140">
        <v>3489.9134599999998</v>
      </c>
      <c r="AA140">
        <f>INDEX(AF140:AN140,0,MATCH(Dashboard!$E$15,Lists!$AF$6:$AF$8,0)+6)</f>
        <v>3373.0685999999996</v>
      </c>
      <c r="AD140">
        <f t="shared" si="6"/>
        <v>0.74299999999999999</v>
      </c>
      <c r="AF140">
        <v>23784.014999999999</v>
      </c>
      <c r="AG140">
        <v>27611.069800000001</v>
      </c>
      <c r="AH140">
        <v>31295.718000000001</v>
      </c>
      <c r="AI140">
        <v>107.03073641417691</v>
      </c>
      <c r="AJ140">
        <v>100.47934691376561</v>
      </c>
      <c r="AK140">
        <v>97.122308516120256</v>
      </c>
      <c r="AL140">
        <v>3373.0685999999996</v>
      </c>
      <c r="AM140">
        <v>3624.3952799999997</v>
      </c>
      <c r="AN140">
        <v>3864.6988599999995</v>
      </c>
      <c r="AP140">
        <v>22113.845399999998</v>
      </c>
      <c r="AQ140">
        <v>23807.822700000001</v>
      </c>
      <c r="AR140">
        <v>90.202978269817152</v>
      </c>
      <c r="AS140">
        <v>96.199379861693458</v>
      </c>
      <c r="AT140">
        <v>3597.9398399999995</v>
      </c>
      <c r="AU140">
        <v>3758.8770999999997</v>
      </c>
    </row>
    <row r="141" spans="5:47" x14ac:dyDescent="0.45">
      <c r="E141" t="s">
        <v>59</v>
      </c>
      <c r="F141">
        <v>23336.329399999999</v>
      </c>
      <c r="G141">
        <v>24607.325700000001</v>
      </c>
      <c r="H141">
        <v>23552.457299999998</v>
      </c>
      <c r="I141">
        <f ca="1">OFFSET(AP141,0,MATCH(Dashboard!$E$19,Lists!$AH$6:$AH$7,0)-1)</f>
        <v>25845.877199999999</v>
      </c>
      <c r="J141">
        <v>25294.193500000001</v>
      </c>
      <c r="K141">
        <f>INDEX(AF141:AH141,0,MATCH(Dashboard!$E$15,Lists!$AF$6:$AF$8,0))</f>
        <v>26092.072700000001</v>
      </c>
      <c r="M141" t="s">
        <v>59</v>
      </c>
      <c r="N141">
        <v>37.184319022830785</v>
      </c>
      <c r="O141">
        <v>39.184047255066709</v>
      </c>
      <c r="P141">
        <v>43.474203863545611</v>
      </c>
      <c r="Q141">
        <f ca="1">OFFSET(AR141,0,MATCH(Dashboard!$E$19,Lists!$AH$6:$AH$7,0)-1)</f>
        <v>89.476930113589987</v>
      </c>
      <c r="R141">
        <v>67.797114027958216</v>
      </c>
      <c r="S141">
        <f>INDEX(AF141:AN141,0,MATCH(Dashboard!$E$15,Lists!$AF$6:$AF$8,0)+3)</f>
        <v>99.112421677796917</v>
      </c>
      <c r="U141" t="s">
        <v>59</v>
      </c>
      <c r="V141">
        <v>3611.1675599999999</v>
      </c>
      <c r="W141">
        <v>3721.3985599999996</v>
      </c>
      <c r="X141">
        <v>3646.4414799999995</v>
      </c>
      <c r="Y141">
        <f ca="1">OFFSET(AT141,0,MATCH(Dashboard!$E$19,Lists!$AH$6:$AH$7,0)-1)</f>
        <v>3939.6559399999996</v>
      </c>
      <c r="Z141">
        <v>3622.1906599999998</v>
      </c>
      <c r="AA141">
        <f>INDEX(AF141:AN141,0,MATCH(Dashboard!$E$15,Lists!$AF$6:$AF$8,0)+6)</f>
        <v>3534.0058599999998</v>
      </c>
      <c r="AD141">
        <f t="shared" si="6"/>
        <v>0.74299999999999999</v>
      </c>
      <c r="AF141">
        <v>26092.072700000001</v>
      </c>
      <c r="AG141">
        <v>30262.411100000001</v>
      </c>
      <c r="AH141">
        <v>34108.477800000001</v>
      </c>
      <c r="AI141">
        <v>99.112421677796917</v>
      </c>
      <c r="AJ141">
        <v>93.114193686164384</v>
      </c>
      <c r="AK141">
        <v>90.129680678484632</v>
      </c>
      <c r="AL141">
        <v>3534.0058599999998</v>
      </c>
      <c r="AM141">
        <v>3805.1741199999997</v>
      </c>
      <c r="AN141">
        <v>4056.5007999999998</v>
      </c>
      <c r="AP141">
        <v>24068.937900000001</v>
      </c>
      <c r="AQ141">
        <v>25845.877199999999</v>
      </c>
      <c r="AR141">
        <v>83.556046887812272</v>
      </c>
      <c r="AS141">
        <v>89.476930113589987</v>
      </c>
      <c r="AT141">
        <v>3765.4909599999996</v>
      </c>
      <c r="AU141">
        <v>3939.6559399999996</v>
      </c>
    </row>
    <row r="142" spans="5:47" x14ac:dyDescent="0.45">
      <c r="E142" t="s">
        <v>60</v>
      </c>
      <c r="F142">
        <v>25907.7585</v>
      </c>
      <c r="G142">
        <v>27911.509300000002</v>
      </c>
      <c r="H142">
        <v>26804.185799999999</v>
      </c>
      <c r="I142">
        <f ca="1">OFFSET(AP142,0,MATCH(Dashboard!$E$19,Lists!$AH$6:$AH$7,0)-1)</f>
        <v>28684.688099999999</v>
      </c>
      <c r="J142">
        <v>29492.910199999998</v>
      </c>
      <c r="K142">
        <f>INDEX(AF142:AH142,0,MATCH(Dashboard!$E$15,Lists!$AF$6:$AF$8,0))</f>
        <v>28951.413400000001</v>
      </c>
      <c r="M142" t="s">
        <v>60</v>
      </c>
      <c r="N142">
        <v>30.236563922771676</v>
      </c>
      <c r="O142">
        <v>32.649805034539796</v>
      </c>
      <c r="P142">
        <v>35.337560576139424</v>
      </c>
      <c r="Q142">
        <f ca="1">OFFSET(AR142,0,MATCH(Dashboard!$E$19,Lists!$AH$6:$AH$7,0)-1)</f>
        <v>74.582533754334065</v>
      </c>
      <c r="R142">
        <v>54.746101611889287</v>
      </c>
      <c r="S142">
        <f>INDEX(AF142:AN142,0,MATCH(Dashboard!$E$15,Lists!$AF$6:$AF$8,0)+3)</f>
        <v>85.463375106560378</v>
      </c>
      <c r="U142" t="s">
        <v>60</v>
      </c>
      <c r="V142">
        <v>4093.9793399999994</v>
      </c>
      <c r="W142">
        <v>4219.6426799999999</v>
      </c>
      <c r="X142">
        <v>4080.7516199999995</v>
      </c>
      <c r="Y142">
        <f ca="1">OFFSET(AT142,0,MATCH(Dashboard!$E$19,Lists!$AH$6:$AH$7,0)-1)</f>
        <v>4404.8307599999998</v>
      </c>
      <c r="Z142">
        <v>4173.34566</v>
      </c>
      <c r="AA142">
        <f>INDEX(AF142:AN142,0,MATCH(Dashboard!$E$15,Lists!$AF$6:$AF$8,0)+6)</f>
        <v>3915.4051199999994</v>
      </c>
      <c r="AD142">
        <f t="shared" si="6"/>
        <v>0.74299999999999999</v>
      </c>
      <c r="AF142">
        <v>28951.413400000001</v>
      </c>
      <c r="AG142">
        <v>33964.591099999998</v>
      </c>
      <c r="AH142">
        <v>38760.276599999997</v>
      </c>
      <c r="AI142">
        <v>85.463375106560378</v>
      </c>
      <c r="AJ142">
        <v>80.078686254235066</v>
      </c>
      <c r="AK142">
        <v>77.30382493359923</v>
      </c>
      <c r="AL142">
        <v>3915.4051199999994</v>
      </c>
      <c r="AM142">
        <v>4243.8934999999992</v>
      </c>
      <c r="AN142">
        <v>4556.9495399999996</v>
      </c>
      <c r="AP142">
        <v>26840.181400000001</v>
      </c>
      <c r="AQ142">
        <v>28684.688099999999</v>
      </c>
      <c r="AR142">
        <v>68.83638832378881</v>
      </c>
      <c r="AS142">
        <v>74.582533754334065</v>
      </c>
      <c r="AT142">
        <v>4202.0057199999992</v>
      </c>
      <c r="AU142">
        <v>4404.8307599999998</v>
      </c>
    </row>
    <row r="143" spans="5:47" x14ac:dyDescent="0.45">
      <c r="E143" t="s">
        <v>119</v>
      </c>
      <c r="F143">
        <v>14426.6633</v>
      </c>
      <c r="G143">
        <v>15744.444299999999</v>
      </c>
      <c r="H143">
        <v>14663.0717</v>
      </c>
      <c r="I143">
        <f ca="1">OFFSET(AP143,0,MATCH(Dashboard!$E$19,Lists!$AH$6:$AH$7,0)-1)</f>
        <v>16552.666799999999</v>
      </c>
      <c r="J143">
        <v>16447.451400000002</v>
      </c>
      <c r="K143">
        <f>INDEX(AF143:AH143,0,MATCH(Dashboard!$E$15,Lists!$AF$6:$AF$8,0))</f>
        <v>16117.562400000001</v>
      </c>
      <c r="M143" t="s">
        <v>119</v>
      </c>
      <c r="N143">
        <v>39.803083466102429</v>
      </c>
      <c r="O143">
        <v>41.16753396926434</v>
      </c>
      <c r="P143">
        <v>48.5588612515824</v>
      </c>
      <c r="Q143">
        <f ca="1">OFFSET(AR143,0,MATCH(Dashboard!$E$19,Lists!$AH$6:$AH$7,0)-1)</f>
        <v>106.48824246854522</v>
      </c>
      <c r="R143">
        <v>78.704262891665209</v>
      </c>
      <c r="S143">
        <f>INDEX(AF143:AN143,0,MATCH(Dashboard!$E$15,Lists!$AF$6:$AF$8,0)+3)</f>
        <v>119.74367226678866</v>
      </c>
      <c r="U143" t="s">
        <v>119</v>
      </c>
      <c r="V143">
        <v>3428.1840999999995</v>
      </c>
      <c r="W143">
        <v>3547.2335799999996</v>
      </c>
      <c r="X143">
        <v>3421.5702399999996</v>
      </c>
      <c r="Y143">
        <f ca="1">OFFSET(AT143,0,MATCH(Dashboard!$E$19,Lists!$AH$6:$AH$7,0)-1)</f>
        <v>3668.4876799999997</v>
      </c>
      <c r="Z143">
        <v>3443.6164399999998</v>
      </c>
      <c r="AA143">
        <f>INDEX(AF143:AN143,0,MATCH(Dashboard!$E$15,Lists!$AF$6:$AF$8,0)+6)</f>
        <v>3287.0884199999996</v>
      </c>
      <c r="AD143">
        <f t="shared" si="6"/>
        <v>0.74299999999999999</v>
      </c>
      <c r="AF143">
        <v>16117.562400000001</v>
      </c>
      <c r="AG143">
        <v>19413.2111</v>
      </c>
      <c r="AH143">
        <v>22929.455300000001</v>
      </c>
      <c r="AI143">
        <v>119.74367226678866</v>
      </c>
      <c r="AJ143">
        <v>112.07292388423681</v>
      </c>
      <c r="AK143">
        <v>108.09972582584949</v>
      </c>
      <c r="AL143">
        <v>3287.0884199999996</v>
      </c>
      <c r="AM143">
        <v>3503.1411799999996</v>
      </c>
      <c r="AN143">
        <v>3732.4216599999995</v>
      </c>
      <c r="AP143">
        <v>14960.7292</v>
      </c>
      <c r="AQ143">
        <v>16552.666799999999</v>
      </c>
      <c r="AR143">
        <v>100.29932626224443</v>
      </c>
      <c r="AS143">
        <v>106.48824246854522</v>
      </c>
      <c r="AT143">
        <v>3514.1642799999995</v>
      </c>
      <c r="AU143">
        <v>3668.4876799999997</v>
      </c>
    </row>
    <row r="144" spans="5:47" x14ac:dyDescent="0.45">
      <c r="E144" t="s">
        <v>120</v>
      </c>
      <c r="F144">
        <v>19135.3832</v>
      </c>
      <c r="G144">
        <v>21255.0033</v>
      </c>
      <c r="H144">
        <v>19477.7788</v>
      </c>
      <c r="I144">
        <f ca="1">OFFSET(AP144,0,MATCH(Dashboard!$E$19,Lists!$AH$6:$AH$7,0)-1)</f>
        <v>21472.082699999999</v>
      </c>
      <c r="J144">
        <v>22451.8868</v>
      </c>
      <c r="K144">
        <f>INDEX(AF144:AH144,0,MATCH(Dashboard!$E$15,Lists!$AF$6:$AF$8,0))</f>
        <v>20276.9748</v>
      </c>
      <c r="M144" t="s">
        <v>120</v>
      </c>
      <c r="N144">
        <v>32.97423522914103</v>
      </c>
      <c r="O144">
        <v>35.027240220637751</v>
      </c>
      <c r="P144">
        <v>42.689534717948021</v>
      </c>
      <c r="Q144">
        <f ca="1">OFFSET(AR144,0,MATCH(Dashboard!$E$19,Lists!$AH$6:$AH$7,0)-1)</f>
        <v>97.951035440305972</v>
      </c>
      <c r="R144">
        <v>68.575151701130181</v>
      </c>
      <c r="S144">
        <f>INDEX(AF144:AN144,0,MATCH(Dashboard!$E$15,Lists!$AF$6:$AF$8,0)+3)</f>
        <v>113.8047846199055</v>
      </c>
      <c r="U144" t="s">
        <v>120</v>
      </c>
      <c r="V144">
        <v>3882.3358199999998</v>
      </c>
      <c r="W144">
        <v>4027.8407399999996</v>
      </c>
      <c r="X144">
        <v>3842.6526599999997</v>
      </c>
      <c r="Y144">
        <f ca="1">OFFSET(AT144,0,MATCH(Dashboard!$E$19,Lists!$AH$6:$AH$7,0)-1)</f>
        <v>4107.2070599999997</v>
      </c>
      <c r="Z144">
        <v>3963.9067599999998</v>
      </c>
      <c r="AA144">
        <f>INDEX(AF144:AN144,0,MATCH(Dashboard!$E$15,Lists!$AF$6:$AF$8,0)+6)</f>
        <v>3628.8045199999997</v>
      </c>
      <c r="AD144">
        <f t="shared" si="6"/>
        <v>0.74299999999999999</v>
      </c>
      <c r="AF144">
        <v>20276.9748</v>
      </c>
      <c r="AG144">
        <v>23969.575499999999</v>
      </c>
      <c r="AH144">
        <v>27715.3897</v>
      </c>
      <c r="AI144">
        <v>113.8047846199055</v>
      </c>
      <c r="AJ144">
        <v>105.36752748974675</v>
      </c>
      <c r="AK144">
        <v>101.64041706561119</v>
      </c>
      <c r="AL144">
        <v>3628.8045199999997</v>
      </c>
      <c r="AM144">
        <v>3871.3127199999994</v>
      </c>
      <c r="AN144">
        <v>4113.8209199999992</v>
      </c>
      <c r="AP144">
        <v>19846.715499999998</v>
      </c>
      <c r="AQ144">
        <v>21472.082699999999</v>
      </c>
      <c r="AR144">
        <v>91.677609338821895</v>
      </c>
      <c r="AS144">
        <v>97.951035440305972</v>
      </c>
      <c r="AT144">
        <v>3941.8605599999996</v>
      </c>
      <c r="AU144">
        <v>4107.2070599999997</v>
      </c>
    </row>
    <row r="145" spans="5:47" x14ac:dyDescent="0.45">
      <c r="E145" t="s">
        <v>121</v>
      </c>
      <c r="F145">
        <v>21911.2742</v>
      </c>
      <c r="G145">
        <v>24145.8079</v>
      </c>
      <c r="H145">
        <v>22603.342100000002</v>
      </c>
      <c r="I145">
        <f ca="1">OFFSET(AP145,0,MATCH(Dashboard!$E$19,Lists!$AH$6:$AH$7,0)-1)</f>
        <v>24456.063300000002</v>
      </c>
      <c r="J145">
        <v>24983.298599999998</v>
      </c>
      <c r="K145">
        <f>INDEX(AF145:AH145,0,MATCH(Dashboard!$E$15,Lists!$AF$6:$AF$8,0))</f>
        <v>24309.4935</v>
      </c>
      <c r="M145" t="s">
        <v>121</v>
      </c>
      <c r="N145">
        <v>34.661648283760755</v>
      </c>
      <c r="O145">
        <v>37.096845106028226</v>
      </c>
      <c r="P145">
        <v>41.644127124615011</v>
      </c>
      <c r="Q145">
        <f ca="1">OFFSET(AR145,0,MATCH(Dashboard!$E$19,Lists!$AH$6:$AH$7,0)-1)</f>
        <v>89.745994976279491</v>
      </c>
      <c r="R145">
        <v>65.964344826837191</v>
      </c>
      <c r="S145">
        <f>INDEX(AF145:AN145,0,MATCH(Dashboard!$E$15,Lists!$AF$6:$AF$8,0)+3)</f>
        <v>102.55166569845646</v>
      </c>
      <c r="U145" t="s">
        <v>121</v>
      </c>
      <c r="V145">
        <v>3767.6955799999996</v>
      </c>
      <c r="W145">
        <v>3888.9496799999997</v>
      </c>
      <c r="X145">
        <v>3767.6955799999996</v>
      </c>
      <c r="Y145">
        <f ca="1">OFFSET(AT145,0,MATCH(Dashboard!$E$19,Lists!$AH$6:$AH$7,0)-1)</f>
        <v>4052.0915599999998</v>
      </c>
      <c r="Z145">
        <v>3809.5833599999996</v>
      </c>
      <c r="AA145">
        <f>INDEX(AF145:AN145,0,MATCH(Dashboard!$E$15,Lists!$AF$6:$AF$8,0)+6)</f>
        <v>3582.5074999999997</v>
      </c>
      <c r="AD145">
        <f t="shared" si="6"/>
        <v>0.74299999999999999</v>
      </c>
      <c r="AF145">
        <v>24309.4935</v>
      </c>
      <c r="AG145">
        <v>28097.6237</v>
      </c>
      <c r="AH145">
        <v>32184.525300000001</v>
      </c>
      <c r="AI145">
        <v>102.55166569845646</v>
      </c>
      <c r="AJ145">
        <v>96.331699141100927</v>
      </c>
      <c r="AK145">
        <v>92.835955637675795</v>
      </c>
      <c r="AL145">
        <v>3582.5074999999997</v>
      </c>
      <c r="AM145">
        <v>3829.4249399999999</v>
      </c>
      <c r="AN145">
        <v>4096.1839599999994</v>
      </c>
      <c r="AP145">
        <v>22934.787799999998</v>
      </c>
      <c r="AQ145">
        <v>24456.063300000002</v>
      </c>
      <c r="AR145">
        <v>83.457407992328186</v>
      </c>
      <c r="AS145">
        <v>89.745994976279491</v>
      </c>
      <c r="AT145">
        <v>3880.1311999999998</v>
      </c>
      <c r="AU145">
        <v>4052.0915599999998</v>
      </c>
    </row>
    <row r="146" spans="5:47" x14ac:dyDescent="0.45">
      <c r="E146" t="s">
        <v>122</v>
      </c>
      <c r="F146">
        <v>24252.918600000001</v>
      </c>
      <c r="G146">
        <v>26249.065999999999</v>
      </c>
      <c r="H146">
        <v>24820.0196</v>
      </c>
      <c r="I146">
        <f ca="1">OFFSET(AP146,0,MATCH(Dashboard!$E$19,Lists!$AH$6:$AH$7,0)-1)</f>
        <v>26830.466700000001</v>
      </c>
      <c r="J146">
        <v>27706.915700000001</v>
      </c>
      <c r="K146">
        <f>INDEX(AF146:AH146,0,MATCH(Dashboard!$E$15,Lists!$AF$6:$AF$8,0))</f>
        <v>27015.4578</v>
      </c>
      <c r="M146" t="s">
        <v>122</v>
      </c>
      <c r="N146">
        <v>31.480854405071245</v>
      </c>
      <c r="O146">
        <v>34.217894736189521</v>
      </c>
      <c r="P146">
        <v>38.093452174174388</v>
      </c>
      <c r="Q146">
        <f ca="1">OFFSET(AR146,0,MATCH(Dashboard!$E$19,Lists!$AH$6:$AH$7,0)-1)</f>
        <v>81.205444653451764</v>
      </c>
      <c r="R146">
        <v>59.216219087999789</v>
      </c>
      <c r="S146">
        <f>INDEX(AF146:AN146,0,MATCH(Dashboard!$E$15,Lists!$AF$6:$AF$8,0)+3)</f>
        <v>92.516367918432934</v>
      </c>
      <c r="U146" t="s">
        <v>122</v>
      </c>
      <c r="V146">
        <v>4140.2763599999998</v>
      </c>
      <c r="W146">
        <v>4270.3489399999999</v>
      </c>
      <c r="X146">
        <v>4151.2994599999993</v>
      </c>
      <c r="Y146">
        <f ca="1">OFFSET(AT146,0,MATCH(Dashboard!$E$19,Lists!$AH$6:$AH$7,0)-1)</f>
        <v>4466.5601199999992</v>
      </c>
      <c r="Z146">
        <v>4237.2796399999997</v>
      </c>
      <c r="AA146">
        <f>INDEX(AF146:AN146,0,MATCH(Dashboard!$E$15,Lists!$AF$6:$AF$8,0)+6)</f>
        <v>3983.7483399999996</v>
      </c>
      <c r="AD146">
        <f t="shared" si="6"/>
        <v>0.74299999999999999</v>
      </c>
      <c r="AF146">
        <v>27015.4578</v>
      </c>
      <c r="AG146">
        <v>31202.527399999999</v>
      </c>
      <c r="AH146">
        <v>35777.284200000002</v>
      </c>
      <c r="AI146">
        <v>92.516367918432934</v>
      </c>
      <c r="AJ146">
        <v>86.885179434717585</v>
      </c>
      <c r="AK146">
        <v>83.691020756170147</v>
      </c>
      <c r="AL146">
        <v>3983.7483399999996</v>
      </c>
      <c r="AM146">
        <v>4257.12122</v>
      </c>
      <c r="AN146">
        <v>4556.9495399999996</v>
      </c>
      <c r="AP146">
        <v>25192.484499999999</v>
      </c>
      <c r="AQ146">
        <v>26830.466700000001</v>
      </c>
      <c r="AR146">
        <v>75.212118762304073</v>
      </c>
      <c r="AS146">
        <v>81.205444653451764</v>
      </c>
      <c r="AT146">
        <v>4279.1674199999998</v>
      </c>
      <c r="AU146">
        <v>4466.5601199999992</v>
      </c>
    </row>
    <row r="147" spans="5:47" x14ac:dyDescent="0.45">
      <c r="E147" t="s">
        <v>123</v>
      </c>
      <c r="F147">
        <v>26161.311799999999</v>
      </c>
      <c r="G147">
        <v>28183.335800000001</v>
      </c>
      <c r="H147">
        <v>27382.233800000002</v>
      </c>
      <c r="I147">
        <f ca="1">OFFSET(AP147,0,MATCH(Dashboard!$E$19,Lists!$AH$6:$AH$7,0)-1)</f>
        <v>29326.8887</v>
      </c>
      <c r="J147">
        <v>30473.2726</v>
      </c>
      <c r="K147">
        <f>INDEX(AF147:AH147,0,MATCH(Dashboard!$E$15,Lists!$AF$6:$AF$8,0))</f>
        <v>29853.5461</v>
      </c>
      <c r="M147" t="s">
        <v>123</v>
      </c>
      <c r="N147">
        <v>28.475922281245531</v>
      </c>
      <c r="O147">
        <v>30.276230355350037</v>
      </c>
      <c r="P147">
        <v>32.96231339571672</v>
      </c>
      <c r="Q147">
        <f ca="1">OFFSET(AR147,0,MATCH(Dashboard!$E$19,Lists!$AH$6:$AH$7,0)-1)</f>
        <v>69.855691923259371</v>
      </c>
      <c r="R147">
        <v>50.504432060000539</v>
      </c>
      <c r="S147">
        <f>INDEX(AF147:AN147,0,MATCH(Dashboard!$E$15,Lists!$AF$6:$AF$8,0)+3)</f>
        <v>79.372032237376999</v>
      </c>
      <c r="U147" t="s">
        <v>123</v>
      </c>
      <c r="V147">
        <v>4682.6128799999997</v>
      </c>
      <c r="W147">
        <v>4830.3224199999995</v>
      </c>
      <c r="X147">
        <v>4623.0881399999998</v>
      </c>
      <c r="Y147">
        <f ca="1">OFFSET(AT147,0,MATCH(Dashboard!$E$19,Lists!$AH$6:$AH$7,0)-1)</f>
        <v>4958.19038</v>
      </c>
      <c r="Z147">
        <v>4784.0253999999995</v>
      </c>
      <c r="AA147">
        <f>INDEX(AF147:AN147,0,MATCH(Dashboard!$E$15,Lists!$AF$6:$AF$8,0)+6)</f>
        <v>4490.8109399999994</v>
      </c>
      <c r="AD147">
        <f t="shared" si="6"/>
        <v>0.74299999999999999</v>
      </c>
      <c r="AF147">
        <v>29853.5461</v>
      </c>
      <c r="AG147">
        <v>35108.5746</v>
      </c>
      <c r="AH147">
        <v>40024.316599999998</v>
      </c>
      <c r="AI147">
        <v>79.372032237376999</v>
      </c>
      <c r="AJ147">
        <v>74.431754971743132</v>
      </c>
      <c r="AK147">
        <v>71.938429381208365</v>
      </c>
      <c r="AL147">
        <v>4490.8109399999994</v>
      </c>
      <c r="AM147">
        <v>4832.5270399999999</v>
      </c>
      <c r="AN147">
        <v>5154.4015599999993</v>
      </c>
      <c r="AP147">
        <v>27249.734</v>
      </c>
      <c r="AQ147">
        <v>29326.8887</v>
      </c>
      <c r="AR147">
        <v>64.675006044060936</v>
      </c>
      <c r="AS147">
        <v>69.855691923259371</v>
      </c>
      <c r="AT147">
        <v>4742.1376199999995</v>
      </c>
      <c r="AU147">
        <v>4958.19038</v>
      </c>
    </row>
    <row r="148" spans="5:47" x14ac:dyDescent="0.45">
      <c r="E148" t="s">
        <v>115</v>
      </c>
      <c r="G148">
        <v>155006.47265419265</v>
      </c>
      <c r="H148">
        <v>160898.63505714838</v>
      </c>
      <c r="I148">
        <v>253961.79769368342</v>
      </c>
      <c r="J148">
        <v>207524.72032256238</v>
      </c>
      <c r="K148">
        <v>344380.55130427424</v>
      </c>
      <c r="M148" t="s">
        <v>115</v>
      </c>
      <c r="O148">
        <v>8.5045596744288883</v>
      </c>
      <c r="P148">
        <v>8.314100999621207</v>
      </c>
      <c r="Q148">
        <v>8.8148851700937243</v>
      </c>
      <c r="R148">
        <v>8.6096248678195799</v>
      </c>
      <c r="S148">
        <v>14.710016673773401</v>
      </c>
      <c r="U148" t="s">
        <v>115</v>
      </c>
      <c r="W148">
        <v>66298.218562924609</v>
      </c>
      <c r="X148">
        <v>65904.750239665635</v>
      </c>
      <c r="Y148">
        <v>70297.753093156905</v>
      </c>
      <c r="Z148">
        <v>66459.314483907758</v>
      </c>
      <c r="AA148">
        <v>71166.96555244617</v>
      </c>
      <c r="AC148">
        <v>38840.260360154003</v>
      </c>
      <c r="AD148">
        <v>0.32537357077948426</v>
      </c>
    </row>
    <row r="149" spans="5:47" x14ac:dyDescent="0.45">
      <c r="E149" t="s">
        <v>116</v>
      </c>
      <c r="G149">
        <v>134002.59870428845</v>
      </c>
      <c r="H149">
        <v>139342.32351803407</v>
      </c>
      <c r="I149">
        <v>178831.88902763141</v>
      </c>
      <c r="J149">
        <v>176180.27602484231</v>
      </c>
      <c r="K149">
        <v>213418.06522842226</v>
      </c>
      <c r="M149" t="s">
        <v>116</v>
      </c>
      <c r="O149">
        <v>8.0844483726326466</v>
      </c>
      <c r="P149">
        <v>8.0832568291986338</v>
      </c>
      <c r="Q149">
        <v>9.1009528879747386</v>
      </c>
      <c r="R149">
        <v>8.4815228650315682</v>
      </c>
      <c r="S149">
        <v>15.402679498539422</v>
      </c>
      <c r="U149" t="s">
        <v>116</v>
      </c>
      <c r="W149">
        <v>63988.887212830865</v>
      </c>
      <c r="X149">
        <v>63577.071267399799</v>
      </c>
      <c r="Y149">
        <v>65793.600323502469</v>
      </c>
      <c r="Z149">
        <v>62984.068770278718</v>
      </c>
      <c r="AA149">
        <v>64564.958933113558</v>
      </c>
      <c r="AC149">
        <v>38771.182119845995</v>
      </c>
      <c r="AD149">
        <v>0.37283409682269786</v>
      </c>
    </row>
    <row r="150" spans="5:47" x14ac:dyDescent="0.45">
      <c r="E150" t="s">
        <v>117</v>
      </c>
      <c r="G150">
        <v>106401.41516447827</v>
      </c>
      <c r="H150">
        <v>110113.59074275589</v>
      </c>
      <c r="I150">
        <v>141602.98614364213</v>
      </c>
      <c r="J150">
        <v>126504.05186746333</v>
      </c>
      <c r="K150">
        <v>165311.61963171756</v>
      </c>
      <c r="M150" t="s">
        <v>117</v>
      </c>
      <c r="O150">
        <v>8.7962408794033617</v>
      </c>
      <c r="P150">
        <v>10.145544292549031</v>
      </c>
      <c r="Q150">
        <v>15.816165327749687</v>
      </c>
      <c r="R150">
        <v>13.050688174871992</v>
      </c>
      <c r="S150">
        <v>22.822820519518217</v>
      </c>
      <c r="U150" t="s">
        <v>117</v>
      </c>
      <c r="W150">
        <v>40682.38161748834</v>
      </c>
      <c r="X150">
        <v>40003.562806689195</v>
      </c>
      <c r="Y150">
        <v>42711.367685728161</v>
      </c>
      <c r="Z150">
        <v>40018.640136222893</v>
      </c>
      <c r="AA150">
        <v>41586.286041223786</v>
      </c>
      <c r="AC150">
        <v>15790.958260153999</v>
      </c>
      <c r="AD150">
        <v>0.63178265603742867</v>
      </c>
    </row>
    <row r="151" spans="5:47" x14ac:dyDescent="0.45">
      <c r="E151" t="s">
        <v>124</v>
      </c>
      <c r="G151">
        <v>78383.561254835266</v>
      </c>
      <c r="H151">
        <v>82605.884394789769</v>
      </c>
      <c r="I151">
        <v>99457.961679357162</v>
      </c>
      <c r="J151">
        <v>92619.866027441472</v>
      </c>
      <c r="K151">
        <v>104705.04854920479</v>
      </c>
      <c r="M151" t="s">
        <v>124</v>
      </c>
      <c r="O151">
        <v>12.895057349224809</v>
      </c>
      <c r="P151">
        <v>15.336828518219942</v>
      </c>
      <c r="Q151">
        <v>24.703657044026116</v>
      </c>
      <c r="R151">
        <v>20.758482743049555</v>
      </c>
      <c r="S151">
        <v>36.078956208103037</v>
      </c>
      <c r="U151" t="s">
        <v>124</v>
      </c>
      <c r="W151">
        <v>23096.285276764167</v>
      </c>
      <c r="X151">
        <v>22500.863183489393</v>
      </c>
      <c r="Y151">
        <v>24528.329629131422</v>
      </c>
      <c r="Z151">
        <v>22162.352378493801</v>
      </c>
      <c r="AA151">
        <v>22752.141527389405</v>
      </c>
      <c r="AC151">
        <v>11617.605104446</v>
      </c>
      <c r="AD151">
        <v>0.69486040230658797</v>
      </c>
    </row>
    <row r="152" spans="5:47" x14ac:dyDescent="0.45">
      <c r="E152" t="s">
        <v>125</v>
      </c>
      <c r="G152">
        <v>65063.449970450209</v>
      </c>
      <c r="H152">
        <v>65742.204118291527</v>
      </c>
      <c r="I152">
        <v>70859.61083371428</v>
      </c>
      <c r="J152">
        <v>69964.298286915</v>
      </c>
      <c r="K152">
        <v>72512.887899925583</v>
      </c>
      <c r="M152" t="s">
        <v>125</v>
      </c>
      <c r="O152">
        <v>15.94103091109476</v>
      </c>
      <c r="P152">
        <v>21.833957552107179</v>
      </c>
      <c r="Q152">
        <v>31.102661950813093</v>
      </c>
      <c r="R152">
        <v>33.228287396163616</v>
      </c>
      <c r="S152">
        <v>58.101238940441142</v>
      </c>
      <c r="U152" t="s">
        <v>125</v>
      </c>
      <c r="W152">
        <v>15373.877624301664</v>
      </c>
      <c r="X152">
        <v>13116.359658238498</v>
      </c>
      <c r="Y152">
        <v>14295.662553299228</v>
      </c>
      <c r="Z152">
        <v>12433.515363396342</v>
      </c>
      <c r="AA152">
        <v>12799.94936630717</v>
      </c>
      <c r="AC152">
        <v>6283.8283860000001</v>
      </c>
      <c r="AD152">
        <v>0.62660538223416351</v>
      </c>
    </row>
    <row r="153" spans="5:47" x14ac:dyDescent="0.45">
      <c r="E153" t="s">
        <v>118</v>
      </c>
      <c r="M153" t="s">
        <v>118</v>
      </c>
      <c r="U153" t="s">
        <v>118</v>
      </c>
      <c r="AD153">
        <v>0</v>
      </c>
    </row>
    <row r="154" spans="5:47" x14ac:dyDescent="0.45">
      <c r="E154" t="s">
        <v>138</v>
      </c>
      <c r="G154">
        <v>112786.02378544079</v>
      </c>
      <c r="M154" t="s">
        <v>138</v>
      </c>
      <c r="O154">
        <v>6.2450429074237972</v>
      </c>
      <c r="U154" t="s">
        <v>138</v>
      </c>
      <c r="W154">
        <v>53241.045328126987</v>
      </c>
      <c r="AC154">
        <v>28020.720199999996</v>
      </c>
      <c r="AD154">
        <v>0</v>
      </c>
    </row>
    <row r="157" spans="5:47" x14ac:dyDescent="0.45">
      <c r="E157" t="s">
        <v>133</v>
      </c>
      <c r="F157" t="s">
        <v>42</v>
      </c>
      <c r="G157" t="s">
        <v>43</v>
      </c>
      <c r="H157" t="s">
        <v>427</v>
      </c>
      <c r="I157" t="s">
        <v>44</v>
      </c>
      <c r="J157" t="s">
        <v>45</v>
      </c>
      <c r="K157" t="s">
        <v>46</v>
      </c>
      <c r="M157" t="s">
        <v>133</v>
      </c>
      <c r="N157" t="s">
        <v>42</v>
      </c>
      <c r="O157" t="s">
        <v>43</v>
      </c>
      <c r="P157" t="s">
        <v>427</v>
      </c>
      <c r="Q157" t="s">
        <v>44</v>
      </c>
      <c r="R157" t="s">
        <v>45</v>
      </c>
      <c r="S157" t="s">
        <v>46</v>
      </c>
      <c r="U157" t="s">
        <v>133</v>
      </c>
      <c r="V157" t="s">
        <v>42</v>
      </c>
      <c r="W157" t="s">
        <v>43</v>
      </c>
      <c r="X157" t="s">
        <v>427</v>
      </c>
      <c r="Y157" t="s">
        <v>44</v>
      </c>
      <c r="Z157" t="s">
        <v>45</v>
      </c>
      <c r="AA157" t="s">
        <v>46</v>
      </c>
      <c r="AC157" t="s">
        <v>464</v>
      </c>
      <c r="AD157" t="s">
        <v>234</v>
      </c>
      <c r="AF157" t="s">
        <v>164</v>
      </c>
      <c r="AG157" t="s">
        <v>165</v>
      </c>
      <c r="AH157" t="s">
        <v>166</v>
      </c>
      <c r="AI157" t="s">
        <v>167</v>
      </c>
      <c r="AJ157" t="s">
        <v>168</v>
      </c>
      <c r="AK157" t="s">
        <v>169</v>
      </c>
      <c r="AL157" t="s">
        <v>418</v>
      </c>
      <c r="AM157" t="s">
        <v>419</v>
      </c>
      <c r="AN157" t="s">
        <v>420</v>
      </c>
      <c r="AP157" t="s">
        <v>173</v>
      </c>
      <c r="AQ157" t="s">
        <v>174</v>
      </c>
      <c r="AR157" t="s">
        <v>176</v>
      </c>
      <c r="AS157" t="s">
        <v>175</v>
      </c>
      <c r="AT157" t="s">
        <v>416</v>
      </c>
      <c r="AU157" t="s">
        <v>417</v>
      </c>
    </row>
    <row r="158" spans="5:47" x14ac:dyDescent="0.45">
      <c r="E158" t="s">
        <v>57</v>
      </c>
      <c r="F158">
        <v>12730.293900000001</v>
      </c>
      <c r="G158">
        <v>15296.785900000001</v>
      </c>
      <c r="H158">
        <v>16110.751099999999</v>
      </c>
      <c r="I158">
        <f ca="1">OFFSET(AP158,0,MATCH(Dashboard!$E$19,Lists!$AH$6:$AH$7,0)-1)</f>
        <v>24764.574100000002</v>
      </c>
      <c r="J158">
        <v>17718.7955</v>
      </c>
      <c r="K158">
        <f>INDEX(AF158:AH158,0,MATCH(Dashboard!$E$15,Lists!$AF$6:$AF$8,0))</f>
        <v>23099.0586</v>
      </c>
      <c r="M158" t="s">
        <v>57</v>
      </c>
      <c r="N158">
        <v>27.630206491187785</v>
      </c>
      <c r="O158">
        <v>29.561722300470326</v>
      </c>
      <c r="P158">
        <v>39.325951408251719</v>
      </c>
      <c r="Q158">
        <f ca="1">OFFSET(AR158,0,MATCH(Dashboard!$E$19,Lists!$AH$6:$AH$7,0)-1)</f>
        <v>85.683900267338458</v>
      </c>
      <c r="R158">
        <v>62.987147803749728</v>
      </c>
      <c r="S158">
        <f>INDEX(AF158:AN158,0,MATCH(Dashboard!$E$15,Lists!$AF$6:$AF$8,0)+3)</f>
        <v>98.604682418098164</v>
      </c>
      <c r="U158" t="s">
        <v>57</v>
      </c>
      <c r="V158">
        <v>3234.1775399999997</v>
      </c>
      <c r="W158">
        <v>3344.4085399999999</v>
      </c>
      <c r="X158">
        <v>3337.7946799999995</v>
      </c>
      <c r="Y158">
        <f ca="1">OFFSET(AT158,0,MATCH(Dashboard!$E$19,Lists!$AH$6:$AH$7,0)-1)</f>
        <v>3838.2434199999998</v>
      </c>
      <c r="Z158">
        <v>3423.7748599999995</v>
      </c>
      <c r="AA158">
        <f>INDEX(AF158:AN158,0,MATCH(Dashboard!$E$15,Lists!$AF$6:$AF$8,0)+6)</f>
        <v>3586.9167399999997</v>
      </c>
      <c r="AD158">
        <f t="shared" ref="AD158:AD167" si="7">$AG$14</f>
        <v>0.74299999999999999</v>
      </c>
      <c r="AF158">
        <v>23099.0586</v>
      </c>
      <c r="AG158">
        <v>30377.281500000001</v>
      </c>
      <c r="AH158">
        <v>41442.629000000001</v>
      </c>
      <c r="AI158">
        <v>98.604682418098164</v>
      </c>
      <c r="AJ158">
        <v>91.898811855501279</v>
      </c>
      <c r="AK158">
        <v>80.809690302676643</v>
      </c>
      <c r="AL158">
        <v>3586.9167399999997</v>
      </c>
      <c r="AM158">
        <v>4010.2037799999998</v>
      </c>
      <c r="AN158">
        <v>4647.3389599999991</v>
      </c>
      <c r="AP158">
        <v>19362.985700000001</v>
      </c>
      <c r="AQ158">
        <v>24764.574100000002</v>
      </c>
      <c r="AR158">
        <v>82.330651532584838</v>
      </c>
      <c r="AS158">
        <v>85.683900267338458</v>
      </c>
      <c r="AT158">
        <v>3569.2797799999998</v>
      </c>
      <c r="AU158">
        <v>3838.2434199999998</v>
      </c>
    </row>
    <row r="159" spans="5:47" x14ac:dyDescent="0.45">
      <c r="E159" t="s">
        <v>58</v>
      </c>
      <c r="F159">
        <v>16045.609399999999</v>
      </c>
      <c r="G159">
        <v>18464.619500000001</v>
      </c>
      <c r="H159">
        <v>19593.805100000001</v>
      </c>
      <c r="I159">
        <f ca="1">OFFSET(AP159,0,MATCH(Dashboard!$E$19,Lists!$AH$6:$AH$7,0)-1)</f>
        <v>28894.6185</v>
      </c>
      <c r="J159">
        <v>22174.0262</v>
      </c>
      <c r="K159">
        <f>INDEX(AF159:AH159,0,MATCH(Dashboard!$E$15,Lists!$AF$6:$AF$8,0))</f>
        <v>27251.884999999998</v>
      </c>
      <c r="M159" t="s">
        <v>58</v>
      </c>
      <c r="N159">
        <v>24.287614927568747</v>
      </c>
      <c r="O159">
        <v>26.802077397159856</v>
      </c>
      <c r="P159">
        <v>35.921178726855388</v>
      </c>
      <c r="Q159">
        <f ca="1">OFFSET(AR159,0,MATCH(Dashboard!$E$19,Lists!$AH$6:$AH$7,0)-1)</f>
        <v>78.838256520370493</v>
      </c>
      <c r="R159">
        <v>56.726604816501705</v>
      </c>
      <c r="S159">
        <f>INDEX(AF159:AN159,0,MATCH(Dashboard!$E$15,Lists!$AF$6:$AF$8,0)+3)</f>
        <v>91.484144773249909</v>
      </c>
      <c r="U159" t="s">
        <v>58</v>
      </c>
      <c r="V159">
        <v>3840.4480399999998</v>
      </c>
      <c r="W159">
        <v>3944.0651799999996</v>
      </c>
      <c r="X159">
        <v>3893.3589199999997</v>
      </c>
      <c r="Y159">
        <f ca="1">OFFSET(AT159,0,MATCH(Dashboard!$E$19,Lists!$AH$6:$AH$7,0)-1)</f>
        <v>4433.49082</v>
      </c>
      <c r="Z159">
        <v>4038.8638399999995</v>
      </c>
      <c r="AA159">
        <f>INDEX(AF159:AN159,0,MATCH(Dashboard!$E$15,Lists!$AF$6:$AF$8,0)+6)</f>
        <v>4157.9133199999997</v>
      </c>
      <c r="AD159">
        <f t="shared" si="7"/>
        <v>0.74299999999999999</v>
      </c>
      <c r="AF159">
        <v>27251.884999999998</v>
      </c>
      <c r="AG159">
        <v>35218.134599999998</v>
      </c>
      <c r="AH159">
        <v>47378.477099999996</v>
      </c>
      <c r="AI159">
        <v>91.484144773249909</v>
      </c>
      <c r="AJ159">
        <v>85.039853735070835</v>
      </c>
      <c r="AK159">
        <v>74.432226796877629</v>
      </c>
      <c r="AL159">
        <v>4157.9133199999997</v>
      </c>
      <c r="AM159">
        <v>4618.6788999999999</v>
      </c>
      <c r="AN159">
        <v>5319.7480599999999</v>
      </c>
      <c r="AP159">
        <v>23075.032599999999</v>
      </c>
      <c r="AQ159">
        <v>28894.6185</v>
      </c>
      <c r="AR159">
        <v>75.612539873970661</v>
      </c>
      <c r="AS159">
        <v>78.838256520370493</v>
      </c>
      <c r="AT159">
        <v>4144.6855999999998</v>
      </c>
      <c r="AU159">
        <v>4433.49082</v>
      </c>
    </row>
    <row r="160" spans="5:47" x14ac:dyDescent="0.45">
      <c r="E160" t="s">
        <v>56</v>
      </c>
      <c r="F160">
        <v>18161.982100000001</v>
      </c>
      <c r="G160">
        <v>20524.889899999998</v>
      </c>
      <c r="H160">
        <v>22009.575400000002</v>
      </c>
      <c r="I160">
        <f ca="1">OFFSET(AP160,0,MATCH(Dashboard!$E$19,Lists!$AH$6:$AH$7,0)-1)</f>
        <v>32177.254300000001</v>
      </c>
      <c r="J160">
        <v>24901.5491</v>
      </c>
      <c r="K160">
        <f>INDEX(AF160:AH160,0,MATCH(Dashboard!$E$15,Lists!$AF$6:$AF$8,0))</f>
        <v>31536.7176</v>
      </c>
      <c r="M160" t="s">
        <v>56</v>
      </c>
      <c r="N160">
        <v>24.342692578226337</v>
      </c>
      <c r="O160">
        <v>25.132221612269227</v>
      </c>
      <c r="P160">
        <v>33.079749304470695</v>
      </c>
      <c r="Q160">
        <f ca="1">OFFSET(AR160,0,MATCH(Dashboard!$E$19,Lists!$AH$6:$AH$7,0)-1)</f>
        <v>68.879898592491728</v>
      </c>
      <c r="R160">
        <v>49.65864940985491</v>
      </c>
      <c r="S160">
        <f>INDEX(AF160:AN160,0,MATCH(Dashboard!$E$15,Lists!$AF$6:$AF$8,0)+3)</f>
        <v>78.741649691722913</v>
      </c>
      <c r="U160" t="s">
        <v>56</v>
      </c>
      <c r="V160">
        <v>3924.2235999999998</v>
      </c>
      <c r="W160">
        <v>4019.0222599999997</v>
      </c>
      <c r="X160">
        <v>4003.5899199999994</v>
      </c>
      <c r="Y160">
        <f ca="1">OFFSET(AT160,0,MATCH(Dashboard!$E$19,Lists!$AH$6:$AH$7,0)-1)</f>
        <v>4609.86042</v>
      </c>
      <c r="Z160">
        <v>4168.93642</v>
      </c>
      <c r="AA160">
        <f>INDEX(AF160:AN160,0,MATCH(Dashboard!$E$15,Lists!$AF$6:$AF$8,0)+6)</f>
        <v>4347.5106399999995</v>
      </c>
      <c r="AD160">
        <f t="shared" si="7"/>
        <v>0.74299999999999999</v>
      </c>
      <c r="AF160">
        <v>31536.7176</v>
      </c>
      <c r="AG160">
        <v>40688.367100000003</v>
      </c>
      <c r="AH160">
        <v>54540.988299999997</v>
      </c>
      <c r="AI160">
        <v>78.741649691722913</v>
      </c>
      <c r="AJ160">
        <v>73.397119439954594</v>
      </c>
      <c r="AK160">
        <v>64.611083500815042</v>
      </c>
      <c r="AL160">
        <v>4347.5106399999995</v>
      </c>
      <c r="AM160">
        <v>4872.2101999999995</v>
      </c>
      <c r="AN160">
        <v>5672.4872599999999</v>
      </c>
      <c r="AP160">
        <v>25976.476299999998</v>
      </c>
      <c r="AQ160">
        <v>32177.254300000001</v>
      </c>
      <c r="AR160">
        <v>66.571220609564023</v>
      </c>
      <c r="AS160">
        <v>68.879898592491728</v>
      </c>
      <c r="AT160">
        <v>4294.5997600000001</v>
      </c>
      <c r="AU160">
        <v>4609.86042</v>
      </c>
    </row>
    <row r="161" spans="5:47" x14ac:dyDescent="0.45">
      <c r="E161" t="s">
        <v>59</v>
      </c>
      <c r="F161">
        <v>19249.179</v>
      </c>
      <c r="G161">
        <v>21620.323700000001</v>
      </c>
      <c r="H161">
        <v>23131.481400000001</v>
      </c>
      <c r="I161">
        <f ca="1">OFFSET(AP161,0,MATCH(Dashboard!$E$19,Lists!$AH$6:$AH$7,0)-1)</f>
        <v>34202.49</v>
      </c>
      <c r="J161">
        <v>26229.244299999998</v>
      </c>
      <c r="K161">
        <f>INDEX(AF161:AH161,0,MATCH(Dashboard!$E$15,Lists!$AF$6:$AF$8,0))</f>
        <v>34111.983999999997</v>
      </c>
      <c r="M161" t="s">
        <v>59</v>
      </c>
      <c r="N161">
        <v>20.74382356943774</v>
      </c>
      <c r="O161">
        <v>23.837844207440735</v>
      </c>
      <c r="P161">
        <v>30.795211499144884</v>
      </c>
      <c r="Q161">
        <f ca="1">OFFSET(AR161,0,MATCH(Dashboard!$E$19,Lists!$AH$6:$AH$7,0)-1)</f>
        <v>63.246359749174751</v>
      </c>
      <c r="R161">
        <v>45.923789989650061</v>
      </c>
      <c r="S161">
        <f>INDEX(AF161:AN161,0,MATCH(Dashboard!$E$15,Lists!$AF$6:$AF$8,0)+3)</f>
        <v>71.805883896690915</v>
      </c>
      <c r="U161" t="s">
        <v>59</v>
      </c>
      <c r="V161">
        <v>4146.8902199999993</v>
      </c>
      <c r="W161">
        <v>4252.71198</v>
      </c>
      <c r="X161">
        <v>4274.7581799999998</v>
      </c>
      <c r="Y161">
        <f ca="1">OFFSET(AT161,0,MATCH(Dashboard!$E$19,Lists!$AH$6:$AH$7,0)-1)</f>
        <v>4931.7349399999994</v>
      </c>
      <c r="Z161">
        <v>4433.49082</v>
      </c>
      <c r="AA161">
        <f>INDEX(AF161:AN161,0,MATCH(Dashboard!$E$15,Lists!$AF$6:$AF$8,0)+6)</f>
        <v>4669.3851599999998</v>
      </c>
      <c r="AD161">
        <f t="shared" si="7"/>
        <v>0.74299999999999999</v>
      </c>
      <c r="AF161">
        <v>34111.983999999997</v>
      </c>
      <c r="AG161">
        <v>44056.006000000001</v>
      </c>
      <c r="AH161">
        <v>59065.606800000001</v>
      </c>
      <c r="AI161">
        <v>71.805883896690915</v>
      </c>
      <c r="AJ161">
        <v>67.006095014414001</v>
      </c>
      <c r="AK161">
        <v>59.128828562615588</v>
      </c>
      <c r="AL161">
        <v>4669.3851599999998</v>
      </c>
      <c r="AM161">
        <v>5242.5863599999993</v>
      </c>
      <c r="AN161">
        <v>6109.0020199999999</v>
      </c>
      <c r="AP161">
        <v>27575.130700000002</v>
      </c>
      <c r="AQ161">
        <v>34202.49</v>
      </c>
      <c r="AR161">
        <v>61.012879095684106</v>
      </c>
      <c r="AS161">
        <v>63.246359749174751</v>
      </c>
      <c r="AT161">
        <v>4592.2234599999992</v>
      </c>
      <c r="AU161">
        <v>4931.7349399999994</v>
      </c>
    </row>
    <row r="162" spans="5:47" x14ac:dyDescent="0.45">
      <c r="E162" t="s">
        <v>60</v>
      </c>
      <c r="F162">
        <v>21604.317599999998</v>
      </c>
      <c r="G162">
        <v>25054.163700000001</v>
      </c>
      <c r="H162">
        <v>27814.092400000001</v>
      </c>
      <c r="I162">
        <f ca="1">OFFSET(AP162,0,MATCH(Dashboard!$E$19,Lists!$AH$6:$AH$7,0)-1)</f>
        <v>39762.827499999999</v>
      </c>
      <c r="J162">
        <v>32304.446100000001</v>
      </c>
      <c r="K162">
        <f>INDEX(AF162:AH162,0,MATCH(Dashboard!$E$15,Lists!$AF$6:$AF$8,0))</f>
        <v>39279.881500000003</v>
      </c>
      <c r="M162" t="s">
        <v>60</v>
      </c>
      <c r="N162">
        <v>17.07124771700434</v>
      </c>
      <c r="O162">
        <v>19.973460702763319</v>
      </c>
      <c r="P162">
        <v>25.406167077329563</v>
      </c>
      <c r="Q162">
        <f ca="1">OFFSET(AR162,0,MATCH(Dashboard!$E$19,Lists!$AH$6:$AH$7,0)-1)</f>
        <v>52.645417693446085</v>
      </c>
      <c r="R162">
        <v>37.514495579942583</v>
      </c>
      <c r="S162">
        <f>INDEX(AF162:AN162,0,MATCH(Dashboard!$E$15,Lists!$AF$6:$AF$8,0)+3)</f>
        <v>61.263014847360012</v>
      </c>
      <c r="U162" t="s">
        <v>60</v>
      </c>
      <c r="V162">
        <v>4737.7283799999996</v>
      </c>
      <c r="W162">
        <v>4874.41482</v>
      </c>
      <c r="X162">
        <v>4821.5039399999996</v>
      </c>
      <c r="Y162">
        <f ca="1">OFFSET(AT162,0,MATCH(Dashboard!$E$19,Lists!$AH$6:$AH$7,0)-1)</f>
        <v>5579.8932199999999</v>
      </c>
      <c r="Z162">
        <v>5172.0385199999992</v>
      </c>
      <c r="AA162">
        <f>INDEX(AF162:AN162,0,MATCH(Dashboard!$E$15,Lists!$AF$6:$AF$8,0)+6)</f>
        <v>5260.2233199999991</v>
      </c>
      <c r="AD162">
        <f t="shared" si="7"/>
        <v>0.74299999999999999</v>
      </c>
      <c r="AF162">
        <v>39279.881500000003</v>
      </c>
      <c r="AG162">
        <v>50945.002800000002</v>
      </c>
      <c r="AH162">
        <v>68518.177899999995</v>
      </c>
      <c r="AI162">
        <v>61.263014847360012</v>
      </c>
      <c r="AJ162">
        <v>57.20966859403493</v>
      </c>
      <c r="AK162">
        <v>50.561360116027217</v>
      </c>
      <c r="AL162">
        <v>5260.2233199999991</v>
      </c>
      <c r="AM162">
        <v>5926.0185599999995</v>
      </c>
      <c r="AN162">
        <v>6931.3252799999991</v>
      </c>
      <c r="AP162">
        <v>31753.577799999999</v>
      </c>
      <c r="AQ162">
        <v>39762.827499999999</v>
      </c>
      <c r="AR162">
        <v>50.798200759260368</v>
      </c>
      <c r="AS162">
        <v>52.645417693446085</v>
      </c>
      <c r="AT162">
        <v>5169.8338999999996</v>
      </c>
      <c r="AU162">
        <v>5579.8932199999999</v>
      </c>
    </row>
    <row r="163" spans="5:47" x14ac:dyDescent="0.45">
      <c r="E163" t="s">
        <v>119</v>
      </c>
      <c r="F163">
        <v>13377.3483</v>
      </c>
      <c r="G163">
        <v>15816.2287</v>
      </c>
      <c r="H163">
        <v>17031.517899999999</v>
      </c>
      <c r="I163">
        <f ca="1">OFFSET(AP163,0,MATCH(Dashboard!$E$19,Lists!$AH$6:$AH$7,0)-1)</f>
        <v>26100.6469</v>
      </c>
      <c r="J163">
        <v>19548.039100000002</v>
      </c>
      <c r="K163">
        <f>INDEX(AF163:AH163,0,MATCH(Dashboard!$E$15,Lists!$AF$6:$AF$8,0))</f>
        <v>24239.0533</v>
      </c>
      <c r="M163" t="s">
        <v>119</v>
      </c>
      <c r="N163">
        <v>24.49093963239185</v>
      </c>
      <c r="O163">
        <v>27.630206491187785</v>
      </c>
      <c r="P163">
        <v>36.706474649307104</v>
      </c>
      <c r="Q163">
        <f ca="1">OFFSET(AR163,0,MATCH(Dashboard!$E$19,Lists!$AH$6:$AH$7,0)-1)</f>
        <v>80.461910631125718</v>
      </c>
      <c r="R163">
        <v>57.890204875288255</v>
      </c>
      <c r="S163">
        <f>INDEX(AF163:AN163,0,MATCH(Dashboard!$E$15,Lists!$AF$6:$AF$8,0)+3)</f>
        <v>94.060439808607327</v>
      </c>
      <c r="U163" t="s">
        <v>119</v>
      </c>
      <c r="V163">
        <v>3496.5273199999997</v>
      </c>
      <c r="W163">
        <v>3608.9629399999999</v>
      </c>
      <c r="X163">
        <v>3569.2797799999998</v>
      </c>
      <c r="Y163">
        <f ca="1">OFFSET(AT163,0,MATCH(Dashboard!$E$19,Lists!$AH$6:$AH$7,0)-1)</f>
        <v>4096.1839599999994</v>
      </c>
      <c r="Z163">
        <v>3708.1708399999998</v>
      </c>
      <c r="AA163">
        <f>INDEX(AF163:AN163,0,MATCH(Dashboard!$E$15,Lists!$AF$6:$AF$8,0)+6)</f>
        <v>3802.9694999999997</v>
      </c>
      <c r="AD163">
        <f t="shared" si="7"/>
        <v>0.74299999999999999</v>
      </c>
      <c r="AF163">
        <v>24239.0533</v>
      </c>
      <c r="AG163">
        <v>32043.548500000001</v>
      </c>
      <c r="AH163">
        <v>43778.419300000001</v>
      </c>
      <c r="AI163">
        <v>94.060439808607327</v>
      </c>
      <c r="AJ163">
        <v>87.418559393540335</v>
      </c>
      <c r="AK163">
        <v>76.709843037835583</v>
      </c>
      <c r="AL163">
        <v>3802.9694999999997</v>
      </c>
      <c r="AM163">
        <v>4252.71198</v>
      </c>
      <c r="AN163">
        <v>4929.5303199999998</v>
      </c>
      <c r="AP163">
        <v>20385.624599999999</v>
      </c>
      <c r="AQ163">
        <v>26100.6469</v>
      </c>
      <c r="AR163">
        <v>77.125660209763964</v>
      </c>
      <c r="AS163">
        <v>80.461910631125718</v>
      </c>
      <c r="AT163">
        <v>3816.1972199999996</v>
      </c>
      <c r="AU163">
        <v>4096.1839599999994</v>
      </c>
    </row>
    <row r="164" spans="5:47" x14ac:dyDescent="0.45">
      <c r="E164" t="s">
        <v>120</v>
      </c>
      <c r="F164">
        <v>17446.373599999999</v>
      </c>
      <c r="G164">
        <v>20926.45</v>
      </c>
      <c r="H164">
        <v>21923.452300000001</v>
      </c>
      <c r="I164">
        <f ca="1">OFFSET(AP164,0,MATCH(Dashboard!$E$19,Lists!$AH$6:$AH$7,0)-1)</f>
        <v>32020.976999999999</v>
      </c>
      <c r="J164">
        <v>26712.901699999999</v>
      </c>
      <c r="K164">
        <f>INDEX(AF164:AH164,0,MATCH(Dashboard!$E$15,Lists!$AF$6:$AF$8,0))</f>
        <v>28871.769799999998</v>
      </c>
      <c r="M164" t="s">
        <v>120</v>
      </c>
      <c r="N164">
        <v>19.463899934173373</v>
      </c>
      <c r="O164">
        <v>23.740868960365209</v>
      </c>
      <c r="P164">
        <v>32.416147712512441</v>
      </c>
      <c r="Q164">
        <f ca="1">OFFSET(AR164,0,MATCH(Dashboard!$E$19,Lists!$AH$6:$AH$7,0)-1)</f>
        <v>72.482865004834125</v>
      </c>
      <c r="R164">
        <v>49.393317555478575</v>
      </c>
      <c r="S164">
        <f>INDEX(AF164:AN164,0,MATCH(Dashboard!$E$15,Lists!$AF$6:$AF$8,0)+3)</f>
        <v>87.119232645527177</v>
      </c>
      <c r="U164" t="s">
        <v>120</v>
      </c>
      <c r="V164">
        <v>4116.0255399999996</v>
      </c>
      <c r="W164">
        <v>4257.12122</v>
      </c>
      <c r="X164">
        <v>4157.9133199999997</v>
      </c>
      <c r="Y164">
        <f ca="1">OFFSET(AT164,0,MATCH(Dashboard!$E$19,Lists!$AH$6:$AH$7,0)-1)</f>
        <v>4733.3191399999996</v>
      </c>
      <c r="Z164">
        <v>4457.7416399999993</v>
      </c>
      <c r="AA164">
        <f>INDEX(AF164:AN164,0,MATCH(Dashboard!$E$15,Lists!$AF$6:$AF$8,0)+6)</f>
        <v>4343.1013999999996</v>
      </c>
      <c r="AD164">
        <f t="shared" si="7"/>
        <v>0.74299999999999999</v>
      </c>
      <c r="AF164">
        <v>28871.769799999998</v>
      </c>
      <c r="AG164">
        <v>37379.1587</v>
      </c>
      <c r="AH164">
        <v>50218.75</v>
      </c>
      <c r="AI164">
        <v>87.119232645527177</v>
      </c>
      <c r="AJ164">
        <v>80.909281901716184</v>
      </c>
      <c r="AK164">
        <v>70.778588728196624</v>
      </c>
      <c r="AL164">
        <v>4343.1013999999996</v>
      </c>
      <c r="AM164">
        <v>4828.1178</v>
      </c>
      <c r="AN164">
        <v>5564.4608799999996</v>
      </c>
      <c r="AP164">
        <v>25556.863600000001</v>
      </c>
      <c r="AQ164">
        <v>32020.976999999999</v>
      </c>
      <c r="AR164">
        <v>69.352627215195881</v>
      </c>
      <c r="AS164">
        <v>72.482865004834125</v>
      </c>
      <c r="AT164">
        <v>4424.6723399999992</v>
      </c>
      <c r="AU164">
        <v>4733.3191399999996</v>
      </c>
    </row>
    <row r="165" spans="5:47" x14ac:dyDescent="0.45">
      <c r="E165" t="s">
        <v>121</v>
      </c>
      <c r="F165">
        <v>19046.3069</v>
      </c>
      <c r="G165">
        <v>22322.5861</v>
      </c>
      <c r="H165">
        <v>23746.177899999999</v>
      </c>
      <c r="I165">
        <f ca="1">OFFSET(AP165,0,MATCH(Dashboard!$E$19,Lists!$AH$6:$AH$7,0)-1)</f>
        <v>34473.976000000002</v>
      </c>
      <c r="J165">
        <v>27870.647000000001</v>
      </c>
      <c r="K165">
        <f>INDEX(AF165:AH165,0,MATCH(Dashboard!$E$15,Lists!$AF$6:$AF$8,0))</f>
        <v>32888.148399999998</v>
      </c>
      <c r="M165" t="s">
        <v>121</v>
      </c>
      <c r="N165">
        <v>20.225625061993536</v>
      </c>
      <c r="O165">
        <v>23.500332238037927</v>
      </c>
      <c r="P165">
        <v>30.418379815863094</v>
      </c>
      <c r="Q165">
        <f ca="1">OFFSET(AR165,0,MATCH(Dashboard!$E$19,Lists!$AH$6:$AH$7,0)-1)</f>
        <v>64.519510456295549</v>
      </c>
      <c r="R165">
        <v>45.616759934983463</v>
      </c>
      <c r="S165">
        <f>INDEX(AF165:AN165,0,MATCH(Dashboard!$E$15,Lists!$AF$6:$AF$8,0)+3)</f>
        <v>75.903366783922948</v>
      </c>
      <c r="U165" t="s">
        <v>121</v>
      </c>
      <c r="V165">
        <v>4237.2796399999997</v>
      </c>
      <c r="W165">
        <v>4351.9198799999995</v>
      </c>
      <c r="X165">
        <v>4325.4644399999997</v>
      </c>
      <c r="Y165">
        <f ca="1">OFFSET(AT165,0,MATCH(Dashboard!$E$19,Lists!$AH$6:$AH$7,0)-1)</f>
        <v>4960.3949999999995</v>
      </c>
      <c r="Z165">
        <v>4563.5634</v>
      </c>
      <c r="AA165">
        <f>INDEX(AF165:AN165,0,MATCH(Dashboard!$E$15,Lists!$AF$6:$AF$8,0)+6)</f>
        <v>4601.0419399999992</v>
      </c>
      <c r="AD165">
        <f t="shared" si="7"/>
        <v>0.74299999999999999</v>
      </c>
      <c r="AF165">
        <v>32888.148399999998</v>
      </c>
      <c r="AG165">
        <v>42559.1826</v>
      </c>
      <c r="AH165">
        <v>57107.145499999999</v>
      </c>
      <c r="AI165">
        <v>75.903366783922948</v>
      </c>
      <c r="AJ165">
        <v>70.569766574208089</v>
      </c>
      <c r="AK165">
        <v>61.969634649040145</v>
      </c>
      <c r="AL165">
        <v>4601.0419399999992</v>
      </c>
      <c r="AM165">
        <v>5156.6061799999998</v>
      </c>
      <c r="AN165">
        <v>5989.9525399999993</v>
      </c>
      <c r="AP165">
        <v>27821.5219</v>
      </c>
      <c r="AQ165">
        <v>34473.976000000002</v>
      </c>
      <c r="AR165">
        <v>61.705916098067654</v>
      </c>
      <c r="AS165">
        <v>64.519510456295549</v>
      </c>
      <c r="AT165">
        <v>4625.2927599999994</v>
      </c>
      <c r="AU165">
        <v>4960.3949999999995</v>
      </c>
    </row>
    <row r="166" spans="5:47" x14ac:dyDescent="0.45">
      <c r="E166" t="s">
        <v>122</v>
      </c>
      <c r="F166">
        <v>20541.2716</v>
      </c>
      <c r="G166">
        <v>23983.48</v>
      </c>
      <c r="H166">
        <v>25691.230599999999</v>
      </c>
      <c r="I166">
        <f ca="1">OFFSET(AP166,0,MATCH(Dashboard!$E$19,Lists!$AH$6:$AH$7,0)-1)</f>
        <v>37718.918899999997</v>
      </c>
      <c r="J166">
        <v>30992.6034</v>
      </c>
      <c r="K166">
        <f>INDEX(AF166:AH166,0,MATCH(Dashboard!$E$15,Lists!$AF$6:$AF$8,0))</f>
        <v>36577.478900000002</v>
      </c>
      <c r="M166" t="s">
        <v>122</v>
      </c>
      <c r="N166">
        <v>18.193523299748549</v>
      </c>
      <c r="O166">
        <v>21.123688618419752</v>
      </c>
      <c r="P166">
        <v>27.171381748754531</v>
      </c>
      <c r="Q166">
        <f ca="1">OFFSET(AR166,0,MATCH(Dashboard!$E$19,Lists!$AH$6:$AH$7,0)-1)</f>
        <v>57.331275796892477</v>
      </c>
      <c r="R166">
        <v>40.577923785741547</v>
      </c>
      <c r="S166">
        <f>INDEX(AF166:AN166,0,MATCH(Dashboard!$E$15,Lists!$AF$6:$AF$8,0)+3)</f>
        <v>67.297310876547712</v>
      </c>
      <c r="U166" t="s">
        <v>122</v>
      </c>
      <c r="V166">
        <v>4784.0253999999995</v>
      </c>
      <c r="W166">
        <v>4927.3256999999994</v>
      </c>
      <c r="X166">
        <v>4892.0517799999998</v>
      </c>
      <c r="Y166">
        <f ca="1">OFFSET(AT166,0,MATCH(Dashboard!$E$19,Lists!$AH$6:$AH$7,0)-1)</f>
        <v>5606.3486599999997</v>
      </c>
      <c r="Z166">
        <v>5220.5401599999996</v>
      </c>
      <c r="AA166">
        <f>INDEX(AF166:AN166,0,MATCH(Dashboard!$E$15,Lists!$AF$6:$AF$8,0)+6)</f>
        <v>5251.4048399999992</v>
      </c>
      <c r="AD166">
        <f t="shared" si="7"/>
        <v>0.74299999999999999</v>
      </c>
      <c r="AF166">
        <v>36577.478900000002</v>
      </c>
      <c r="AG166">
        <v>47450.958100000003</v>
      </c>
      <c r="AH166">
        <v>63912.458299999998</v>
      </c>
      <c r="AI166">
        <v>67.297310876547712</v>
      </c>
      <c r="AJ166">
        <v>62.598893742786743</v>
      </c>
      <c r="AK166">
        <v>54.940406943925019</v>
      </c>
      <c r="AL166">
        <v>5251.4048399999992</v>
      </c>
      <c r="AM166">
        <v>5875.3122999999996</v>
      </c>
      <c r="AN166">
        <v>6818.8896599999998</v>
      </c>
      <c r="AP166">
        <v>30256.487700000001</v>
      </c>
      <c r="AQ166">
        <v>37718.918899999997</v>
      </c>
      <c r="AR166">
        <v>54.970475411335435</v>
      </c>
      <c r="AS166">
        <v>57.331275796892477</v>
      </c>
      <c r="AT166">
        <v>5229.3586399999995</v>
      </c>
      <c r="AU166">
        <v>5606.3486599999997</v>
      </c>
    </row>
    <row r="167" spans="5:47" x14ac:dyDescent="0.45">
      <c r="E167" t="s">
        <v>123</v>
      </c>
      <c r="F167">
        <v>21916.436399999999</v>
      </c>
      <c r="G167">
        <v>25521.107400000001</v>
      </c>
      <c r="H167">
        <v>29300.881000000001</v>
      </c>
      <c r="I167">
        <f ca="1">OFFSET(AP167,0,MATCH(Dashboard!$E$19,Lists!$AH$6:$AH$7,0)-1)</f>
        <v>41337.371599999999</v>
      </c>
      <c r="J167">
        <v>34333.5605</v>
      </c>
      <c r="K167">
        <f>INDEX(AF167:AH167,0,MATCH(Dashboard!$E$15,Lists!$AF$6:$AF$8,0))</f>
        <v>41356.842100000002</v>
      </c>
      <c r="M167" t="s">
        <v>123</v>
      </c>
      <c r="N167">
        <v>16.01539458004245</v>
      </c>
      <c r="O167">
        <v>18.417318896386377</v>
      </c>
      <c r="P167">
        <v>23.489437059412268</v>
      </c>
      <c r="Q167">
        <f ca="1">OFFSET(AR167,0,MATCH(Dashboard!$E$19,Lists!$AH$6:$AH$7,0)-1)</f>
        <v>49.046838930093294</v>
      </c>
      <c r="R167">
        <v>34.745543469186458</v>
      </c>
      <c r="S167">
        <f>INDEX(AF167:AN167,0,MATCH(Dashboard!$E$15,Lists!$AF$6:$AF$8,0)+3)</f>
        <v>57.038904940973133</v>
      </c>
      <c r="U167" t="s">
        <v>123</v>
      </c>
      <c r="V167">
        <v>5449.8206399999999</v>
      </c>
      <c r="W167">
        <v>5626.1902399999999</v>
      </c>
      <c r="X167">
        <v>5504.9361399999998</v>
      </c>
      <c r="Y167">
        <f ca="1">OFFSET(AT167,0,MATCH(Dashboard!$E$19,Lists!$AH$6:$AH$7,0)-1)</f>
        <v>6298.5993399999998</v>
      </c>
      <c r="Z167">
        <v>5956.8832399999992</v>
      </c>
      <c r="AA167">
        <f>INDEX(AF167:AN167,0,MATCH(Dashboard!$E$15,Lists!$AF$6:$AF$8,0)+6)</f>
        <v>6007.5894999999991</v>
      </c>
      <c r="AD167">
        <f t="shared" si="7"/>
        <v>0.74299999999999999</v>
      </c>
      <c r="AF167">
        <v>41356.842100000002</v>
      </c>
      <c r="AG167">
        <v>54018.096400000002</v>
      </c>
      <c r="AH167">
        <v>73258.736799999999</v>
      </c>
      <c r="AI167">
        <v>57.038904940973133</v>
      </c>
      <c r="AJ167">
        <v>53.174434026093017</v>
      </c>
      <c r="AK167">
        <v>46.799811778156034</v>
      </c>
      <c r="AL167">
        <v>6007.5894999999991</v>
      </c>
      <c r="AM167">
        <v>6732.9094799999993</v>
      </c>
      <c r="AN167">
        <v>7835.2194799999997</v>
      </c>
      <c r="AP167">
        <v>32888.554799999998</v>
      </c>
      <c r="AQ167">
        <v>41337.371599999999</v>
      </c>
      <c r="AR167">
        <v>47.350443269242568</v>
      </c>
      <c r="AS167">
        <v>49.046838930093294</v>
      </c>
      <c r="AT167">
        <v>5870.9030599999996</v>
      </c>
      <c r="AU167">
        <v>6298.5993399999998</v>
      </c>
    </row>
    <row r="168" spans="5:47" x14ac:dyDescent="0.45">
      <c r="E168" t="s">
        <v>115</v>
      </c>
      <c r="G168" s="19">
        <v>143547.94883626094</v>
      </c>
      <c r="H168">
        <v>155852.20211507857</v>
      </c>
      <c r="I168">
        <v>568369.58239164646</v>
      </c>
      <c r="J168">
        <v>359510.9934845661</v>
      </c>
      <c r="K168">
        <v>949388.79764263832</v>
      </c>
      <c r="M168" t="s">
        <v>115</v>
      </c>
      <c r="O168">
        <v>6.6620598318259745</v>
      </c>
      <c r="P168">
        <v>6.5581334071806339</v>
      </c>
      <c r="Q168">
        <v>6.1123574106502288</v>
      </c>
      <c r="R168">
        <v>6.6987177929802719</v>
      </c>
      <c r="S168">
        <v>11.589400574871437</v>
      </c>
      <c r="U168" t="s">
        <v>115</v>
      </c>
      <c r="W168">
        <v>67140.297273070348</v>
      </c>
      <c r="X168">
        <v>67753.457257878108</v>
      </c>
      <c r="Y168">
        <v>76664.027995656215</v>
      </c>
      <c r="Z168">
        <v>69669.783751270501</v>
      </c>
      <c r="AA168">
        <v>81567.152899830035</v>
      </c>
      <c r="AC168">
        <v>38203.272007845997</v>
      </c>
      <c r="AD168">
        <v>0.24129999845248973</v>
      </c>
    </row>
    <row r="169" spans="5:47" x14ac:dyDescent="0.45">
      <c r="E169" t="s">
        <v>116</v>
      </c>
      <c r="G169">
        <v>122338.01592068397</v>
      </c>
      <c r="H169">
        <v>133243.0396545137</v>
      </c>
      <c r="I169">
        <v>351950.0829773639</v>
      </c>
      <c r="J169">
        <v>312713.21109347313</v>
      </c>
      <c r="K169">
        <v>536184.89060419961</v>
      </c>
      <c r="M169" t="s">
        <v>116</v>
      </c>
      <c r="O169">
        <v>6.1418143450536231</v>
      </c>
      <c r="P169">
        <v>6.1083034264468887</v>
      </c>
      <c r="Q169">
        <v>6.1967880780091038</v>
      </c>
      <c r="R169">
        <v>6.2888010628684681</v>
      </c>
      <c r="S169">
        <v>11.901953294377487</v>
      </c>
      <c r="U169" t="s">
        <v>116</v>
      </c>
      <c r="W169">
        <v>64752.573392089995</v>
      </c>
      <c r="X169">
        <v>65290.5021012988</v>
      </c>
      <c r="Y169">
        <v>70078.181213788834</v>
      </c>
      <c r="Z169">
        <v>66347.687461890222</v>
      </c>
      <c r="AA169">
        <v>70713.877392650946</v>
      </c>
      <c r="AC169">
        <v>38192.102080154</v>
      </c>
      <c r="AD169">
        <v>0.31471651539298884</v>
      </c>
    </row>
    <row r="170" spans="5:47" x14ac:dyDescent="0.45">
      <c r="E170" t="s">
        <v>117</v>
      </c>
      <c r="G170">
        <v>96771.806566877567</v>
      </c>
      <c r="H170">
        <v>110519.93724295689</v>
      </c>
      <c r="I170">
        <v>262745.16018791136</v>
      </c>
      <c r="J170">
        <v>204889.99192581963</v>
      </c>
      <c r="K170">
        <v>391535.94178852061</v>
      </c>
      <c r="M170" t="s">
        <v>117</v>
      </c>
      <c r="O170">
        <v>7.0070616114640893</v>
      </c>
      <c r="P170">
        <v>7.9757119367259772</v>
      </c>
      <c r="Q170">
        <v>10.900924662288375</v>
      </c>
      <c r="R170">
        <v>9.3064336455839776</v>
      </c>
      <c r="S170">
        <v>17.464383354107841</v>
      </c>
      <c r="U170" t="s">
        <v>117</v>
      </c>
      <c r="W170">
        <v>41320.260187029511</v>
      </c>
      <c r="X170">
        <v>42160.696727138296</v>
      </c>
      <c r="Y170">
        <v>46351.807328297626</v>
      </c>
      <c r="Z170">
        <v>42902.55356623105</v>
      </c>
      <c r="AA170">
        <v>46402.947375642296</v>
      </c>
      <c r="AC170">
        <v>15153.969907845998</v>
      </c>
      <c r="AD170">
        <v>0.57889703177861507</v>
      </c>
    </row>
    <row r="171" spans="5:47" x14ac:dyDescent="0.45">
      <c r="E171" t="s">
        <v>124</v>
      </c>
      <c r="G171">
        <v>73439.314381448479</v>
      </c>
      <c r="H171">
        <v>87181.907861893138</v>
      </c>
      <c r="I171">
        <v>169263.30497364202</v>
      </c>
      <c r="J171">
        <v>158481.45723625607</v>
      </c>
      <c r="K171">
        <v>231839.54641013927</v>
      </c>
      <c r="M171" t="s">
        <v>124</v>
      </c>
      <c r="O171">
        <v>10.175438648161142</v>
      </c>
      <c r="P171">
        <v>11.28391360170785</v>
      </c>
      <c r="Q171">
        <v>16.973272349159434</v>
      </c>
      <c r="R171">
        <v>14.366121755050621</v>
      </c>
      <c r="S171">
        <v>27.413757627854547</v>
      </c>
      <c r="U171" t="s">
        <v>124</v>
      </c>
      <c r="W171">
        <v>23012.631426141626</v>
      </c>
      <c r="X171">
        <v>23903.276360063999</v>
      </c>
      <c r="Y171">
        <v>26518.621795946765</v>
      </c>
      <c r="Z171">
        <v>24130.484100209032</v>
      </c>
      <c r="AA171">
        <v>25273.425950744535</v>
      </c>
      <c r="AC171">
        <v>11345.262884295998</v>
      </c>
      <c r="AD171">
        <v>0.65204758831803677</v>
      </c>
    </row>
    <row r="172" spans="5:47" x14ac:dyDescent="0.45">
      <c r="E172" t="s">
        <v>125</v>
      </c>
      <c r="G172">
        <v>59050.921553461216</v>
      </c>
      <c r="H172">
        <v>69630.365942782068</v>
      </c>
      <c r="I172">
        <v>115457.51810029703</v>
      </c>
      <c r="J172">
        <v>124716.84930624462</v>
      </c>
      <c r="K172">
        <v>158908.68337107787</v>
      </c>
      <c r="M172" t="s">
        <v>125</v>
      </c>
      <c r="O172">
        <v>12.847528613865805</v>
      </c>
      <c r="P172">
        <v>15.589904653781785</v>
      </c>
      <c r="Q172">
        <v>23.164866868879443</v>
      </c>
      <c r="R172">
        <v>22.731339494638792</v>
      </c>
      <c r="S172">
        <v>43.183195037458717</v>
      </c>
      <c r="U172" t="s">
        <v>125</v>
      </c>
      <c r="W172">
        <v>15077.56804644331</v>
      </c>
      <c r="X172">
        <v>14189.508370731932</v>
      </c>
      <c r="Y172">
        <v>15712.096069045057</v>
      </c>
      <c r="Z172">
        <v>13769.141323753194</v>
      </c>
      <c r="AA172">
        <v>14593.717806434295</v>
      </c>
      <c r="AC172">
        <v>6073.3680855539988</v>
      </c>
      <c r="AD172">
        <v>0.5950265823556653</v>
      </c>
    </row>
    <row r="173" spans="5:47" x14ac:dyDescent="0.45">
      <c r="E173" t="s">
        <v>118</v>
      </c>
      <c r="G173">
        <v>120303.42625468114</v>
      </c>
      <c r="H173">
        <v>134798.13222093985</v>
      </c>
      <c r="I173">
        <v>233662.85017465142</v>
      </c>
      <c r="J173">
        <v>209542.00311608828</v>
      </c>
      <c r="K173">
        <v>324793.70622225001</v>
      </c>
      <c r="M173" t="s">
        <v>118</v>
      </c>
      <c r="O173">
        <v>7.0786461062877297</v>
      </c>
      <c r="P173">
        <v>7.8581252931155463</v>
      </c>
      <c r="Q173">
        <v>3.7899963375466657</v>
      </c>
      <c r="R173">
        <v>9.8796185368350748</v>
      </c>
      <c r="S173">
        <v>18.785365271903114</v>
      </c>
      <c r="U173" t="s">
        <v>118</v>
      </c>
      <c r="W173">
        <v>35576.042700136415</v>
      </c>
      <c r="X173">
        <v>36943.764100582368</v>
      </c>
      <c r="Y173">
        <v>39012.158458663529</v>
      </c>
      <c r="Z173">
        <v>36305.83559371825</v>
      </c>
      <c r="AA173">
        <v>38479.1447463566</v>
      </c>
      <c r="AC173">
        <v>8818.48</v>
      </c>
      <c r="AD173">
        <v>0.49629728974977283</v>
      </c>
    </row>
    <row r="174" spans="5:47" x14ac:dyDescent="0.45">
      <c r="E174" t="s">
        <v>138</v>
      </c>
      <c r="G174">
        <v>102948.68739784345</v>
      </c>
      <c r="H174">
        <v>112333.27872148562</v>
      </c>
      <c r="K174">
        <v>329348.99956551008</v>
      </c>
      <c r="M174" t="s">
        <v>138</v>
      </c>
      <c r="O174">
        <v>5.2044431806212703</v>
      </c>
      <c r="P174">
        <v>5.9955021619315456</v>
      </c>
      <c r="S174">
        <v>18.317970163622466</v>
      </c>
      <c r="U174" t="s">
        <v>138</v>
      </c>
      <c r="W174">
        <v>54061.680783132106</v>
      </c>
      <c r="X174">
        <v>54845.289430488148</v>
      </c>
      <c r="AA174">
        <v>57476.599930634955</v>
      </c>
      <c r="AC174">
        <v>27337.287999999997</v>
      </c>
      <c r="AD174">
        <v>0</v>
      </c>
    </row>
    <row r="177" spans="5:47" x14ac:dyDescent="0.45">
      <c r="E177" t="s">
        <v>134</v>
      </c>
      <c r="F177" t="s">
        <v>42</v>
      </c>
      <c r="G177" t="s">
        <v>43</v>
      </c>
      <c r="H177" t="s">
        <v>427</v>
      </c>
      <c r="I177" t="s">
        <v>44</v>
      </c>
      <c r="J177" t="s">
        <v>45</v>
      </c>
      <c r="K177" t="s">
        <v>46</v>
      </c>
      <c r="M177" t="s">
        <v>134</v>
      </c>
      <c r="N177" t="s">
        <v>42</v>
      </c>
      <c r="O177" t="s">
        <v>43</v>
      </c>
      <c r="P177" t="s">
        <v>427</v>
      </c>
      <c r="Q177" t="s">
        <v>44</v>
      </c>
      <c r="R177" t="s">
        <v>45</v>
      </c>
      <c r="S177" t="s">
        <v>46</v>
      </c>
      <c r="U177" t="s">
        <v>134</v>
      </c>
      <c r="V177" t="s">
        <v>42</v>
      </c>
      <c r="W177" t="s">
        <v>43</v>
      </c>
      <c r="X177" t="s">
        <v>427</v>
      </c>
      <c r="Y177" t="s">
        <v>44</v>
      </c>
      <c r="Z177" t="s">
        <v>45</v>
      </c>
      <c r="AA177" t="s">
        <v>46</v>
      </c>
      <c r="AC177" t="s">
        <v>464</v>
      </c>
      <c r="AD177" t="s">
        <v>234</v>
      </c>
      <c r="AF177" t="s">
        <v>164</v>
      </c>
      <c r="AG177" t="s">
        <v>165</v>
      </c>
      <c r="AH177" t="s">
        <v>166</v>
      </c>
      <c r="AI177" t="s">
        <v>167</v>
      </c>
      <c r="AJ177" t="s">
        <v>168</v>
      </c>
      <c r="AK177" t="s">
        <v>169</v>
      </c>
      <c r="AL177" t="s">
        <v>418</v>
      </c>
      <c r="AM177" t="s">
        <v>419</v>
      </c>
      <c r="AN177" t="s">
        <v>420</v>
      </c>
      <c r="AP177" t="s">
        <v>173</v>
      </c>
      <c r="AQ177" t="s">
        <v>174</v>
      </c>
      <c r="AR177" t="s">
        <v>176</v>
      </c>
      <c r="AS177" t="s">
        <v>175</v>
      </c>
      <c r="AT177" t="s">
        <v>416</v>
      </c>
      <c r="AU177" t="s">
        <v>417</v>
      </c>
    </row>
    <row r="178" spans="5:47" x14ac:dyDescent="0.45">
      <c r="E178" t="s">
        <v>57</v>
      </c>
      <c r="F178">
        <v>14324.1901</v>
      </c>
      <c r="G178">
        <v>15903.075699999999</v>
      </c>
      <c r="H178">
        <v>15157.280699999999</v>
      </c>
      <c r="I178">
        <f ca="1">OFFSET(AP178,0,MATCH(Dashboard!$E$19,Lists!$AH$6:$AH$7,0)-1)</f>
        <v>18654.3904</v>
      </c>
      <c r="J178">
        <v>17149.292000000001</v>
      </c>
      <c r="K178">
        <f>INDEX(AF178:AH178,0,MATCH(Dashboard!$E$15,Lists!$AF$6:$AF$8,0))</f>
        <v>19183.9342</v>
      </c>
      <c r="M178" t="s">
        <v>57</v>
      </c>
      <c r="N178">
        <v>35.16112743014579</v>
      </c>
      <c r="O178">
        <v>40.355583783519407</v>
      </c>
      <c r="P178">
        <v>50.980508929453059</v>
      </c>
      <c r="Q178">
        <f ca="1">OFFSET(AR178,0,MATCH(Dashboard!$E$19,Lists!$AH$6:$AH$7,0)-1)</f>
        <v>100.20517120101397</v>
      </c>
      <c r="R178">
        <v>74.446895868004347</v>
      </c>
      <c r="S178">
        <f>INDEX(AF178:AN178,0,MATCH(Dashboard!$E$15,Lists!$AF$6:$AF$8,0)+3)</f>
        <v>116.15642169258435</v>
      </c>
      <c r="U178" t="s">
        <v>57</v>
      </c>
      <c r="V178">
        <v>3068.8310399999996</v>
      </c>
      <c r="W178">
        <v>3172.4481799999999</v>
      </c>
      <c r="X178">
        <v>3082.0587599999999</v>
      </c>
      <c r="Y178">
        <f ca="1">OFFSET(AT178,0,MATCH(Dashboard!$E$19,Lists!$AH$6:$AH$7,0)-1)</f>
        <v>3377.4778399999996</v>
      </c>
      <c r="Z178">
        <v>3099.6957199999997</v>
      </c>
      <c r="AA178">
        <f>INDEX(AF178:AN178,0,MATCH(Dashboard!$E$15,Lists!$AF$6:$AF$8,0)+6)</f>
        <v>3082.0587599999999</v>
      </c>
      <c r="AD178">
        <f t="shared" ref="AD178:AD187" si="8">$AG$14</f>
        <v>0.74299999999999999</v>
      </c>
      <c r="AF178">
        <v>19183.9342</v>
      </c>
      <c r="AG178">
        <v>23965.626700000001</v>
      </c>
      <c r="AH178">
        <v>29910.053</v>
      </c>
      <c r="AI178">
        <v>116.15642169258435</v>
      </c>
      <c r="AJ178">
        <v>110.05355446048721</v>
      </c>
      <c r="AK178">
        <v>100.50198527132304</v>
      </c>
      <c r="AL178">
        <v>3082.0587599999999</v>
      </c>
      <c r="AM178">
        <v>3348.8177799999999</v>
      </c>
      <c r="AN178">
        <v>3681.7153999999996</v>
      </c>
      <c r="AP178">
        <v>16586.547299999998</v>
      </c>
      <c r="AQ178">
        <v>18654.3904</v>
      </c>
      <c r="AR178">
        <v>95.750176018573384</v>
      </c>
      <c r="AS178">
        <v>100.20517120101397</v>
      </c>
      <c r="AT178">
        <v>3201.1082399999996</v>
      </c>
      <c r="AU178">
        <v>3377.4778399999996</v>
      </c>
    </row>
    <row r="179" spans="5:47" x14ac:dyDescent="0.45">
      <c r="E179" t="s">
        <v>58</v>
      </c>
      <c r="F179">
        <v>18499.2745</v>
      </c>
      <c r="G179">
        <v>19805.200099999998</v>
      </c>
      <c r="H179">
        <v>19210.287899999999</v>
      </c>
      <c r="I179">
        <f ca="1">OFFSET(AP179,0,MATCH(Dashboard!$E$19,Lists!$AH$6:$AH$7,0)-1)</f>
        <v>22813.417000000001</v>
      </c>
      <c r="J179">
        <v>21893.1008</v>
      </c>
      <c r="K179">
        <f>INDEX(AF179:AH179,0,MATCH(Dashboard!$E$15,Lists!$AF$6:$AF$8,0))</f>
        <v>23435.828399999999</v>
      </c>
      <c r="M179" t="s">
        <v>58</v>
      </c>
      <c r="N179">
        <v>32.100329494654098</v>
      </c>
      <c r="O179">
        <v>37.411149751314547</v>
      </c>
      <c r="P179">
        <v>45.438587089616547</v>
      </c>
      <c r="Q179">
        <f ca="1">OFFSET(AR179,0,MATCH(Dashboard!$E$19,Lists!$AH$6:$AH$7,0)-1)</f>
        <v>94.04858433565775</v>
      </c>
      <c r="R179">
        <v>69.171212615742505</v>
      </c>
      <c r="S179">
        <f>INDEX(AF179:AN179,0,MATCH(Dashboard!$E$15,Lists!$AF$6:$AF$8,0)+3)</f>
        <v>110.78366198492853</v>
      </c>
      <c r="U179" t="s">
        <v>58</v>
      </c>
      <c r="V179">
        <v>3476.6857399999999</v>
      </c>
      <c r="W179">
        <v>3571.4843999999998</v>
      </c>
      <c r="X179">
        <v>3439.2071999999998</v>
      </c>
      <c r="Y179">
        <f ca="1">OFFSET(AT179,0,MATCH(Dashboard!$E$19,Lists!$AH$6:$AH$7,0)-1)</f>
        <v>3747.8539999999998</v>
      </c>
      <c r="Z179">
        <v>3489.9134599999998</v>
      </c>
      <c r="AA179">
        <f>INDEX(AF179:AN179,0,MATCH(Dashboard!$E$15,Lists!$AF$6:$AF$8,0)+6)</f>
        <v>3425.9794799999995</v>
      </c>
      <c r="AD179">
        <f t="shared" si="8"/>
        <v>0.74299999999999999</v>
      </c>
      <c r="AF179">
        <v>23435.828399999999</v>
      </c>
      <c r="AG179">
        <v>28275.470799999999</v>
      </c>
      <c r="AH179">
        <v>34796.855300000003</v>
      </c>
      <c r="AI179">
        <v>110.78366198492853</v>
      </c>
      <c r="AJ179">
        <v>105.09212519341762</v>
      </c>
      <c r="AK179">
        <v>95.41518941374909</v>
      </c>
      <c r="AL179">
        <v>3425.9794799999995</v>
      </c>
      <c r="AM179">
        <v>3697.1477399999999</v>
      </c>
      <c r="AN179">
        <v>4060.9100399999998</v>
      </c>
      <c r="AP179">
        <v>20674.649600000001</v>
      </c>
      <c r="AQ179">
        <v>22813.417000000001</v>
      </c>
      <c r="AR179">
        <v>90.238219786220398</v>
      </c>
      <c r="AS179">
        <v>94.04858433565775</v>
      </c>
      <c r="AT179">
        <v>3564.8705399999999</v>
      </c>
      <c r="AU179">
        <v>3747.8539999999998</v>
      </c>
    </row>
    <row r="180" spans="5:47" x14ac:dyDescent="0.45">
      <c r="E180" t="s">
        <v>56</v>
      </c>
      <c r="F180">
        <v>20116.338800000001</v>
      </c>
      <c r="G180">
        <v>21424.085200000001</v>
      </c>
      <c r="H180">
        <v>21057.1957</v>
      </c>
      <c r="I180">
        <f ca="1">OFFSET(AP180,0,MATCH(Dashboard!$E$19,Lists!$AH$6:$AH$7,0)-1)</f>
        <v>24995.151699999999</v>
      </c>
      <c r="J180">
        <v>24164.934600000001</v>
      </c>
      <c r="K180">
        <f>INDEX(AF180:AH180,0,MATCH(Dashboard!$E$15,Lists!$AF$6:$AF$8,0))</f>
        <v>26630.986499999999</v>
      </c>
      <c r="M180" t="s">
        <v>56</v>
      </c>
      <c r="N180">
        <v>30.603366349581147</v>
      </c>
      <c r="O180">
        <v>34.362716357969092</v>
      </c>
      <c r="P180">
        <v>43.047155788781467</v>
      </c>
      <c r="Q180">
        <f ca="1">OFFSET(AR180,0,MATCH(Dashboard!$E$19,Lists!$AH$6:$AH$7,0)-1)</f>
        <v>80.960188111069414</v>
      </c>
      <c r="R180">
        <v>59.130346332302082</v>
      </c>
      <c r="S180">
        <f>INDEX(AF180:AN180,0,MATCH(Dashboard!$E$15,Lists!$AF$6:$AF$8,0)+3)</f>
        <v>93.362676860907627</v>
      </c>
      <c r="U180" t="s">
        <v>56</v>
      </c>
      <c r="V180">
        <v>3653.0553399999999</v>
      </c>
      <c r="W180">
        <v>3747.8539999999998</v>
      </c>
      <c r="X180">
        <v>3646.4414799999995</v>
      </c>
      <c r="Y180">
        <f ca="1">OFFSET(AT180,0,MATCH(Dashboard!$E$19,Lists!$AH$6:$AH$7,0)-1)</f>
        <v>3994.7714399999995</v>
      </c>
      <c r="Z180">
        <v>3719.1939399999997</v>
      </c>
      <c r="AA180">
        <f>INDEX(AF180:AN180,0,MATCH(Dashboard!$E$15,Lists!$AF$6:$AF$8,0)+6)</f>
        <v>3672.8969199999997</v>
      </c>
      <c r="AD180">
        <f t="shared" si="8"/>
        <v>0.74299999999999999</v>
      </c>
      <c r="AF180">
        <v>26630.986499999999</v>
      </c>
      <c r="AG180">
        <v>32584.173299999999</v>
      </c>
      <c r="AH180">
        <v>39927.507899999997</v>
      </c>
      <c r="AI180">
        <v>93.362676860907627</v>
      </c>
      <c r="AJ180">
        <v>88.482369630496407</v>
      </c>
      <c r="AK180">
        <v>80.97940842122884</v>
      </c>
      <c r="AL180">
        <v>3672.8969199999997</v>
      </c>
      <c r="AM180">
        <v>4003.5899199999994</v>
      </c>
      <c r="AN180">
        <v>4415.8538599999993</v>
      </c>
      <c r="AP180">
        <v>22733.988099999999</v>
      </c>
      <c r="AQ180">
        <v>24995.151699999999</v>
      </c>
      <c r="AR180">
        <v>76.305329264462713</v>
      </c>
      <c r="AS180">
        <v>80.960188111069414</v>
      </c>
      <c r="AT180">
        <v>3791.9463999999998</v>
      </c>
      <c r="AU180">
        <v>3994.7714399999995</v>
      </c>
    </row>
    <row r="181" spans="5:47" x14ac:dyDescent="0.45">
      <c r="E181" t="s">
        <v>59</v>
      </c>
      <c r="F181">
        <v>21400.881700000002</v>
      </c>
      <c r="G181">
        <v>22693.493399999999</v>
      </c>
      <c r="H181">
        <v>22341.346399999999</v>
      </c>
      <c r="I181">
        <f ca="1">OFFSET(AP181,0,MATCH(Dashboard!$E$19,Lists!$AH$6:$AH$7,0)-1)</f>
        <v>26686.878499999999</v>
      </c>
      <c r="J181">
        <v>25623.971699999998</v>
      </c>
      <c r="K181">
        <f>INDEX(AF181:AH181,0,MATCH(Dashboard!$E$15,Lists!$AF$6:$AF$8,0))</f>
        <v>28861.542099999999</v>
      </c>
      <c r="M181" t="s">
        <v>59</v>
      </c>
      <c r="N181">
        <v>29.182607185484606</v>
      </c>
      <c r="O181">
        <v>32.937438991760146</v>
      </c>
      <c r="P181">
        <v>40.262956483090413</v>
      </c>
      <c r="Q181">
        <f ca="1">OFFSET(AR181,0,MATCH(Dashboard!$E$19,Lists!$AH$6:$AH$7,0)-1)</f>
        <v>74.34867347276554</v>
      </c>
      <c r="R181">
        <v>54.733799108965727</v>
      </c>
      <c r="S181">
        <f>INDEX(AF181:AN181,0,MATCH(Dashboard!$E$15,Lists!$AF$6:$AF$8,0)+3)</f>
        <v>85.179323909169966</v>
      </c>
      <c r="U181" t="s">
        <v>59</v>
      </c>
      <c r="V181">
        <v>3844.8572799999997</v>
      </c>
      <c r="W181">
        <v>3944.0651799999996</v>
      </c>
      <c r="X181">
        <v>3884.5404399999998</v>
      </c>
      <c r="Y181">
        <f ca="1">OFFSET(AT181,0,MATCH(Dashboard!$E$19,Lists!$AH$6:$AH$7,0)-1)</f>
        <v>4265.9396999999999</v>
      </c>
      <c r="Z181">
        <v>3946.2697999999996</v>
      </c>
      <c r="AA181">
        <f>INDEX(AF181:AN181,0,MATCH(Dashboard!$E$15,Lists!$AF$6:$AF$8,0)+6)</f>
        <v>3933.0420799999997</v>
      </c>
      <c r="AD181">
        <f t="shared" si="8"/>
        <v>0.74299999999999999</v>
      </c>
      <c r="AF181">
        <v>28861.542099999999</v>
      </c>
      <c r="AG181">
        <v>35250.406799999997</v>
      </c>
      <c r="AH181">
        <v>43283.123599999999</v>
      </c>
      <c r="AI181">
        <v>85.179323909169966</v>
      </c>
      <c r="AJ181">
        <v>80.9012138812259</v>
      </c>
      <c r="AK181">
        <v>74.117669276155198</v>
      </c>
      <c r="AL181">
        <v>3933.0420799999997</v>
      </c>
      <c r="AM181">
        <v>4287.9858999999997</v>
      </c>
      <c r="AN181">
        <v>4739.933</v>
      </c>
      <c r="AP181">
        <v>24270.68</v>
      </c>
      <c r="AQ181">
        <v>26686.878499999999</v>
      </c>
      <c r="AR181">
        <v>70.383563744410012</v>
      </c>
      <c r="AS181">
        <v>74.34867347276554</v>
      </c>
      <c r="AT181">
        <v>4047.6823199999994</v>
      </c>
      <c r="AU181">
        <v>4265.9396999999999</v>
      </c>
    </row>
    <row r="182" spans="5:47" x14ac:dyDescent="0.45">
      <c r="E182" t="s">
        <v>60</v>
      </c>
      <c r="F182">
        <v>23448.382000000001</v>
      </c>
      <c r="G182">
        <v>25515.797399999999</v>
      </c>
      <c r="H182">
        <v>25577.6787</v>
      </c>
      <c r="I182">
        <f ca="1">OFFSET(AP182,0,MATCH(Dashboard!$E$19,Lists!$AH$6:$AH$7,0)-1)</f>
        <v>29927.155999999999</v>
      </c>
      <c r="J182">
        <v>30555.4656</v>
      </c>
      <c r="K182">
        <f>INDEX(AF182:AH182,0,MATCH(Dashboard!$E$15,Lists!$AF$6:$AF$8,0))</f>
        <v>32434.358100000001</v>
      </c>
      <c r="M182" t="s">
        <v>60</v>
      </c>
      <c r="N182">
        <v>23.424561624791131</v>
      </c>
      <c r="O182">
        <v>26.942001509950295</v>
      </c>
      <c r="P182">
        <v>32.9003697165045</v>
      </c>
      <c r="Q182">
        <f ca="1">OFFSET(AR182,0,MATCH(Dashboard!$E$19,Lists!$AH$6:$AH$7,0)-1)</f>
        <v>61.553790875960964</v>
      </c>
      <c r="R182">
        <v>43.901335224248086</v>
      </c>
      <c r="S182">
        <f>INDEX(AF182:AN182,0,MATCH(Dashboard!$E$15,Lists!$AF$6:$AF$8,0)+3)</f>
        <v>72.282468732366155</v>
      </c>
      <c r="U182" t="s">
        <v>60</v>
      </c>
      <c r="V182">
        <v>4435.6954399999995</v>
      </c>
      <c r="W182">
        <v>4556.9495399999996</v>
      </c>
      <c r="X182">
        <v>4422.4677199999996</v>
      </c>
      <c r="Y182">
        <f ca="1">OFFSET(AT182,0,MATCH(Dashboard!$E$19,Lists!$AH$6:$AH$7,0)-1)</f>
        <v>4852.3686199999993</v>
      </c>
      <c r="Z182">
        <v>4647.3389599999991</v>
      </c>
      <c r="AA182">
        <f>INDEX(AF182:AN182,0,MATCH(Dashboard!$E$15,Lists!$AF$6:$AF$8,0)+6)</f>
        <v>4464.3554999999997</v>
      </c>
      <c r="AD182">
        <f t="shared" si="8"/>
        <v>0.74299999999999999</v>
      </c>
      <c r="AF182">
        <v>32434.358100000001</v>
      </c>
      <c r="AG182">
        <v>39845.489699999998</v>
      </c>
      <c r="AH182">
        <v>49393.998899999999</v>
      </c>
      <c r="AI182">
        <v>72.282468732366155</v>
      </c>
      <c r="AJ182">
        <v>68.752709059838722</v>
      </c>
      <c r="AK182">
        <v>63.019387332700632</v>
      </c>
      <c r="AL182">
        <v>4464.3554999999997</v>
      </c>
      <c r="AM182">
        <v>4876.6194399999995</v>
      </c>
      <c r="AN182">
        <v>5407.9328599999999</v>
      </c>
      <c r="AP182">
        <v>27090.9817</v>
      </c>
      <c r="AQ182">
        <v>29927.155999999999</v>
      </c>
      <c r="AR182">
        <v>57.587076437355435</v>
      </c>
      <c r="AS182">
        <v>61.553790875960964</v>
      </c>
      <c r="AT182">
        <v>4598.8373199999996</v>
      </c>
      <c r="AU182">
        <v>4852.3686199999993</v>
      </c>
    </row>
    <row r="183" spans="5:47" x14ac:dyDescent="0.45">
      <c r="E183" t="s">
        <v>119</v>
      </c>
      <c r="F183">
        <v>14915.6862</v>
      </c>
      <c r="G183">
        <v>16242.0718</v>
      </c>
      <c r="H183">
        <v>15722.054400000001</v>
      </c>
      <c r="I183">
        <f ca="1">OFFSET(AP183,0,MATCH(Dashboard!$E$19,Lists!$AH$6:$AH$7,0)-1)</f>
        <v>19313.263299999999</v>
      </c>
      <c r="J183">
        <v>18564.9987</v>
      </c>
      <c r="K183">
        <f>INDEX(AF183:AH183,0,MATCH(Dashboard!$E$15,Lists!$AF$6:$AF$8,0))</f>
        <v>19880.273000000001</v>
      </c>
      <c r="M183" t="s">
        <v>119</v>
      </c>
      <c r="N183">
        <v>32.379745373552183</v>
      </c>
      <c r="O183">
        <v>37.4196608328539</v>
      </c>
      <c r="P183">
        <v>47.535630003748693</v>
      </c>
      <c r="Q183">
        <f ca="1">OFFSET(AR183,0,MATCH(Dashboard!$E$19,Lists!$AH$6:$AH$7,0)-1)</f>
        <v>93.313012132245248</v>
      </c>
      <c r="R183">
        <v>68.32459202878573</v>
      </c>
      <c r="S183">
        <f>INDEX(AF183:AN183,0,MATCH(Dashboard!$E$15,Lists!$AF$6:$AF$8,0)+3)</f>
        <v>110.66723166307396</v>
      </c>
      <c r="U183" t="s">
        <v>119</v>
      </c>
      <c r="V183">
        <v>3311.3392399999998</v>
      </c>
      <c r="W183">
        <v>3417.1609999999996</v>
      </c>
      <c r="X183">
        <v>3293.7022799999995</v>
      </c>
      <c r="Y183">
        <f ca="1">OFFSET(AT183,0,MATCH(Dashboard!$E$19,Lists!$AH$6:$AH$7,0)-1)</f>
        <v>3604.5536999999995</v>
      </c>
      <c r="Z183">
        <v>3355.4316399999998</v>
      </c>
      <c r="AA183">
        <f>INDEX(AF183:AN183,0,MATCH(Dashboard!$E$15,Lists!$AF$6:$AF$8,0)+6)</f>
        <v>3267.2468399999998</v>
      </c>
      <c r="AD183">
        <f t="shared" si="8"/>
        <v>0.74299999999999999</v>
      </c>
      <c r="AF183">
        <v>19880.273000000001</v>
      </c>
      <c r="AG183">
        <v>24750.4372</v>
      </c>
      <c r="AH183">
        <v>31290.148099999999</v>
      </c>
      <c r="AI183">
        <v>110.66723166307396</v>
      </c>
      <c r="AJ183">
        <v>104.96302545116869</v>
      </c>
      <c r="AK183">
        <v>95.376681517355379</v>
      </c>
      <c r="AL183">
        <v>3267.2468399999998</v>
      </c>
      <c r="AM183">
        <v>3538.4150999999997</v>
      </c>
      <c r="AN183">
        <v>3906.5866399999995</v>
      </c>
      <c r="AP183">
        <v>17145.507699999998</v>
      </c>
      <c r="AQ183">
        <v>19313.263299999999</v>
      </c>
      <c r="AR183">
        <v>89.527031080125468</v>
      </c>
      <c r="AS183">
        <v>93.313012132245248</v>
      </c>
      <c r="AT183">
        <v>3421.5702399999996</v>
      </c>
      <c r="AU183">
        <v>3604.5536999999995</v>
      </c>
    </row>
    <row r="184" spans="5:47" x14ac:dyDescent="0.45">
      <c r="E184" t="s">
        <v>120</v>
      </c>
      <c r="F184">
        <v>19533.2719</v>
      </c>
      <c r="G184">
        <v>21618.550800000001</v>
      </c>
      <c r="H184">
        <v>20643.127100000002</v>
      </c>
      <c r="I184">
        <f ca="1">OFFSET(AP184,0,MATCH(Dashboard!$E$19,Lists!$AH$6:$AH$7,0)-1)</f>
        <v>24366.925999999999</v>
      </c>
      <c r="J184">
        <v>25193.890299999999</v>
      </c>
      <c r="K184">
        <f>INDEX(AF184:AH184,0,MATCH(Dashboard!$E$15,Lists!$AF$6:$AF$8,0))</f>
        <v>24337.592199999999</v>
      </c>
      <c r="M184" t="s">
        <v>120</v>
      </c>
      <c r="N184">
        <v>26.407083171110713</v>
      </c>
      <c r="O184">
        <v>32.401964322554576</v>
      </c>
      <c r="P184">
        <v>41.99083855306813</v>
      </c>
      <c r="Q184">
        <f ca="1">OFFSET(AR184,0,MATCH(Dashboard!$E$19,Lists!$AH$6:$AH$7,0)-1)</f>
        <v>86.744872676292076</v>
      </c>
      <c r="R184">
        <v>60.226767447642246</v>
      </c>
      <c r="S184">
        <f>INDEX(AF184:AN184,0,MATCH(Dashboard!$E$15,Lists!$AF$6:$AF$8,0)+3)</f>
        <v>105.39323609195203</v>
      </c>
      <c r="U184" t="s">
        <v>120</v>
      </c>
      <c r="V184">
        <v>3730.2170399999995</v>
      </c>
      <c r="W184">
        <v>3853.6757599999996</v>
      </c>
      <c r="X184">
        <v>3672.8969199999997</v>
      </c>
      <c r="Y184">
        <f ca="1">OFFSET(AT184,0,MATCH(Dashboard!$E$19,Lists!$AH$6:$AH$7,0)-1)</f>
        <v>3999.1806799999995</v>
      </c>
      <c r="Z184">
        <v>3842.6526599999997</v>
      </c>
      <c r="AA184">
        <f>INDEX(AF184:AN184,0,MATCH(Dashboard!$E$15,Lists!$AF$6:$AF$8,0)+6)</f>
        <v>3575.8936399999998</v>
      </c>
      <c r="AD184">
        <f t="shared" si="8"/>
        <v>0.74299999999999999</v>
      </c>
      <c r="AF184">
        <v>24337.592199999999</v>
      </c>
      <c r="AG184">
        <v>29781.0317</v>
      </c>
      <c r="AH184">
        <v>36360.1711</v>
      </c>
      <c r="AI184">
        <v>105.39323609195203</v>
      </c>
      <c r="AJ184">
        <v>99.481338029517033</v>
      </c>
      <c r="AK184">
        <v>90.649306428651329</v>
      </c>
      <c r="AL184">
        <v>3575.8936399999998</v>
      </c>
      <c r="AM184">
        <v>3880.1311999999998</v>
      </c>
      <c r="AN184">
        <v>4246.0981199999997</v>
      </c>
      <c r="AP184">
        <v>22039.1374</v>
      </c>
      <c r="AQ184">
        <v>24366.925999999999</v>
      </c>
      <c r="AR184">
        <v>82.1964314530845</v>
      </c>
      <c r="AS184">
        <v>86.744872676292076</v>
      </c>
      <c r="AT184">
        <v>3805.1741199999997</v>
      </c>
      <c r="AU184">
        <v>3999.1806799999995</v>
      </c>
    </row>
    <row r="185" spans="5:47" x14ac:dyDescent="0.45">
      <c r="E185" t="s">
        <v>121</v>
      </c>
      <c r="F185">
        <v>20548.011999999999</v>
      </c>
      <c r="G185">
        <v>22819.389200000001</v>
      </c>
      <c r="H185">
        <v>22106.5429</v>
      </c>
      <c r="I185">
        <f ca="1">OFFSET(AP185,0,MATCH(Dashboard!$E$19,Lists!$AH$6:$AH$7,0)-1)</f>
        <v>26033.241099999999</v>
      </c>
      <c r="J185">
        <v>26414.717000000001</v>
      </c>
      <c r="K185">
        <f>INDEX(AF185:AH185,0,MATCH(Dashboard!$E$15,Lists!$AF$6:$AF$8,0))</f>
        <v>27406.8056</v>
      </c>
      <c r="M185" t="s">
        <v>121</v>
      </c>
      <c r="N185">
        <v>27.127167813603968</v>
      </c>
      <c r="O185">
        <v>31.763442792808451</v>
      </c>
      <c r="P185">
        <v>39.379361773667256</v>
      </c>
      <c r="Q185">
        <f ca="1">OFFSET(AR185,0,MATCH(Dashboard!$E$19,Lists!$AH$6:$AH$7,0)-1)</f>
        <v>76.018641387139439</v>
      </c>
      <c r="R185">
        <v>54.207705427645521</v>
      </c>
      <c r="S185">
        <f>INDEX(AF185:AN185,0,MATCH(Dashboard!$E$15,Lists!$AF$6:$AF$8,0)+3)</f>
        <v>89.973527626985685</v>
      </c>
      <c r="U185" t="s">
        <v>121</v>
      </c>
      <c r="V185">
        <v>3946.2697999999996</v>
      </c>
      <c r="W185">
        <v>4052.0915599999998</v>
      </c>
      <c r="X185">
        <v>3935.2466999999997</v>
      </c>
      <c r="Y185">
        <f ca="1">OFFSET(AT185,0,MATCH(Dashboard!$E$19,Lists!$AH$6:$AH$7,0)-1)</f>
        <v>4301.2136199999995</v>
      </c>
      <c r="Z185">
        <v>4067.5238999999997</v>
      </c>
      <c r="AA185">
        <f>INDEX(AF185:AN185,0,MATCH(Dashboard!$E$15,Lists!$AF$6:$AF$8,0)+6)</f>
        <v>3895.5635399999996</v>
      </c>
      <c r="AD185">
        <f t="shared" si="8"/>
        <v>0.74299999999999999</v>
      </c>
      <c r="AF185">
        <v>27406.8056</v>
      </c>
      <c r="AG185">
        <v>33337.830800000003</v>
      </c>
      <c r="AH185">
        <v>41325.027000000002</v>
      </c>
      <c r="AI185">
        <v>89.973527626985685</v>
      </c>
      <c r="AJ185">
        <v>85.444480023832853</v>
      </c>
      <c r="AK185">
        <v>77.78407125507313</v>
      </c>
      <c r="AL185">
        <v>3895.5635399999996</v>
      </c>
      <c r="AM185">
        <v>4224.0519199999999</v>
      </c>
      <c r="AN185">
        <v>4669.3851599999998</v>
      </c>
      <c r="AP185">
        <v>23783.932799999999</v>
      </c>
      <c r="AQ185">
        <v>26033.241099999999</v>
      </c>
      <c r="AR185">
        <v>71.048992582375377</v>
      </c>
      <c r="AS185">
        <v>76.018641387139439</v>
      </c>
      <c r="AT185">
        <v>4085.1608599999995</v>
      </c>
      <c r="AU185">
        <v>4301.2136199999995</v>
      </c>
    </row>
    <row r="186" spans="5:47" x14ac:dyDescent="0.45">
      <c r="E186" t="s">
        <v>122</v>
      </c>
      <c r="F186">
        <v>22392.1489</v>
      </c>
      <c r="G186">
        <v>24412.388800000001</v>
      </c>
      <c r="H186">
        <v>23896.008900000001</v>
      </c>
      <c r="I186">
        <f ca="1">OFFSET(AP186,0,MATCH(Dashboard!$E$19,Lists!$AH$6:$AH$7,0)-1)</f>
        <v>28445.993999999999</v>
      </c>
      <c r="J186">
        <v>29120.179599999999</v>
      </c>
      <c r="K186">
        <f>INDEX(AF186:AH186,0,MATCH(Dashboard!$E$15,Lists!$AF$6:$AF$8,0))</f>
        <v>30252.3485</v>
      </c>
      <c r="M186" t="s">
        <v>122</v>
      </c>
      <c r="N186">
        <v>24.456200955136062</v>
      </c>
      <c r="O186">
        <v>28.704972320060229</v>
      </c>
      <c r="P186">
        <v>35.394682923416049</v>
      </c>
      <c r="Q186">
        <f ca="1">OFFSET(AR186,0,MATCH(Dashboard!$E$19,Lists!$AH$6:$AH$7,0)-1)</f>
        <v>67.685742488461543</v>
      </c>
      <c r="R186">
        <v>48.021132496532204</v>
      </c>
      <c r="S186">
        <f>INDEX(AF186:AN186,0,MATCH(Dashboard!$E$15,Lists!$AF$6:$AF$8,0)+3)</f>
        <v>80.087064357769918</v>
      </c>
      <c r="U186" t="s">
        <v>122</v>
      </c>
      <c r="V186">
        <v>4424.6723399999992</v>
      </c>
      <c r="W186">
        <v>4543.7218199999998</v>
      </c>
      <c r="X186">
        <v>4431.2861999999996</v>
      </c>
      <c r="Y186">
        <f ca="1">OFFSET(AT186,0,MATCH(Dashboard!$E$19,Lists!$AH$6:$AH$7,0)-1)</f>
        <v>4841.3455199999999</v>
      </c>
      <c r="Z186">
        <v>4629.7019999999993</v>
      </c>
      <c r="AA186">
        <f>INDEX(AF186:AN186,0,MATCH(Dashboard!$E$15,Lists!$AF$6:$AF$8,0)+6)</f>
        <v>4426.8769599999996</v>
      </c>
      <c r="AD186">
        <f t="shared" si="8"/>
        <v>0.74299999999999999</v>
      </c>
      <c r="AF186">
        <v>30252.3485</v>
      </c>
      <c r="AG186">
        <v>36881.908300000003</v>
      </c>
      <c r="AH186">
        <v>45893.790300000001</v>
      </c>
      <c r="AI186">
        <v>80.087064357769918</v>
      </c>
      <c r="AJ186">
        <v>76.066260020606236</v>
      </c>
      <c r="AK186">
        <v>69.21607206356299</v>
      </c>
      <c r="AL186">
        <v>4426.8769599999996</v>
      </c>
      <c r="AM186">
        <v>4797.2531199999994</v>
      </c>
      <c r="AN186">
        <v>5299.9064799999996</v>
      </c>
      <c r="AP186">
        <v>25776.188900000001</v>
      </c>
      <c r="AQ186">
        <v>28445.993999999999</v>
      </c>
      <c r="AR186">
        <v>63.271755773044973</v>
      </c>
      <c r="AS186">
        <v>67.685742488461543</v>
      </c>
      <c r="AT186">
        <v>4603.2465599999996</v>
      </c>
      <c r="AU186">
        <v>4841.3455199999999</v>
      </c>
    </row>
    <row r="187" spans="5:47" x14ac:dyDescent="0.45">
      <c r="E187" t="s">
        <v>123</v>
      </c>
      <c r="F187">
        <v>23650.5101</v>
      </c>
      <c r="G187">
        <v>25802.2251</v>
      </c>
      <c r="H187">
        <v>26469.107599999999</v>
      </c>
      <c r="I187">
        <f ca="1">OFFSET(AP187,0,MATCH(Dashboard!$E$19,Lists!$AH$6:$AH$7,0)-1)</f>
        <v>30697.6597</v>
      </c>
      <c r="J187">
        <v>32017.025600000001</v>
      </c>
      <c r="K187">
        <f>INDEX(AF187:AH187,0,MATCH(Dashboard!$E$15,Lists!$AF$6:$AF$8,0))</f>
        <v>33675.288800000002</v>
      </c>
      <c r="M187" t="s">
        <v>123</v>
      </c>
      <c r="N187">
        <v>21.553697280933523</v>
      </c>
      <c r="O187">
        <v>24.985589388551013</v>
      </c>
      <c r="P187">
        <v>30.522331625475804</v>
      </c>
      <c r="Q187">
        <f ca="1">OFFSET(AR187,0,MATCH(Dashboard!$E$19,Lists!$AH$6:$AH$7,0)-1)</f>
        <v>57.543081350084854</v>
      </c>
      <c r="R187">
        <v>40.83916159303989</v>
      </c>
      <c r="S187">
        <f>INDEX(AF187:AN187,0,MATCH(Dashboard!$E$15,Lists!$AF$6:$AF$8,0)+3)</f>
        <v>67.525525860230971</v>
      </c>
      <c r="U187" t="s">
        <v>123</v>
      </c>
      <c r="V187">
        <v>5079.4444799999992</v>
      </c>
      <c r="W187">
        <v>5231.5632599999999</v>
      </c>
      <c r="X187">
        <v>5035.3520799999997</v>
      </c>
      <c r="Y187">
        <f ca="1">OFFSET(AT187,0,MATCH(Dashboard!$E$19,Lists!$AH$6:$AH$7,0)-1)</f>
        <v>5480.6853199999996</v>
      </c>
      <c r="Z187">
        <v>5330.7711599999993</v>
      </c>
      <c r="AA187">
        <f>INDEX(AF187:AN187,0,MATCH(Dashboard!$E$15,Lists!$AF$6:$AF$8,0)+6)</f>
        <v>5105.8999199999998</v>
      </c>
      <c r="AD187">
        <f t="shared" si="8"/>
        <v>0.74299999999999999</v>
      </c>
      <c r="AF187">
        <v>33675.288800000002</v>
      </c>
      <c r="AG187">
        <v>41387.135300000002</v>
      </c>
      <c r="AH187">
        <v>52056.375599999999</v>
      </c>
      <c r="AI187">
        <v>67.525525860230971</v>
      </c>
      <c r="AJ187">
        <v>64.279303211822409</v>
      </c>
      <c r="AK187">
        <v>58.592246715304171</v>
      </c>
      <c r="AL187">
        <v>5105.8999199999998</v>
      </c>
      <c r="AM187">
        <v>5535.8008199999995</v>
      </c>
      <c r="AN187">
        <v>6128.8435999999992</v>
      </c>
      <c r="AP187">
        <v>27680.0193</v>
      </c>
      <c r="AQ187">
        <v>30697.6597</v>
      </c>
      <c r="AR187">
        <v>53.852051850945045</v>
      </c>
      <c r="AS187">
        <v>57.543081350084854</v>
      </c>
      <c r="AT187">
        <v>5207.3124399999997</v>
      </c>
      <c r="AU187">
        <v>5480.6853199999996</v>
      </c>
    </row>
    <row r="188" spans="5:47" x14ac:dyDescent="0.45">
      <c r="E188" t="s">
        <v>115</v>
      </c>
      <c r="G188">
        <v>149736.11768638578</v>
      </c>
      <c r="H188">
        <v>159666.90532996642</v>
      </c>
      <c r="I188">
        <v>288493.82412204402</v>
      </c>
      <c r="J188">
        <v>233171.53663561062</v>
      </c>
      <c r="K188">
        <v>416398.51812263828</v>
      </c>
      <c r="M188" t="s">
        <v>115</v>
      </c>
      <c r="O188">
        <v>8.2677360098674573</v>
      </c>
      <c r="P188">
        <v>8.2813743597569562</v>
      </c>
      <c r="Q188">
        <v>8.4703355370397286</v>
      </c>
      <c r="R188">
        <v>8.3371413210645642</v>
      </c>
      <c r="S188">
        <v>14.673540508911183</v>
      </c>
      <c r="U188" t="s">
        <v>115</v>
      </c>
      <c r="W188">
        <v>66771.018455459314</v>
      </c>
      <c r="X188">
        <v>66854.46868074323</v>
      </c>
      <c r="Y188">
        <v>71977.417427327193</v>
      </c>
      <c r="Z188">
        <v>67502.055612647775</v>
      </c>
      <c r="AA188">
        <v>73872.580389430092</v>
      </c>
      <c r="AC188">
        <v>38449.013723999997</v>
      </c>
      <c r="AD188">
        <v>0.30431349889631931</v>
      </c>
    </row>
    <row r="189" spans="5:47" x14ac:dyDescent="0.45">
      <c r="E189" t="s">
        <v>116</v>
      </c>
      <c r="G189">
        <v>129307.28348337729</v>
      </c>
      <c r="H189">
        <v>134462.10190493663</v>
      </c>
      <c r="I189">
        <v>194492.61153560565</v>
      </c>
      <c r="J189">
        <v>198897.55589833224</v>
      </c>
      <c r="K189">
        <v>248185.68405383994</v>
      </c>
      <c r="M189" t="s">
        <v>116</v>
      </c>
      <c r="O189">
        <v>7.7794698726260831</v>
      </c>
      <c r="P189">
        <v>8.0050371008427472</v>
      </c>
      <c r="Q189">
        <v>8.7286993522148482</v>
      </c>
      <c r="R189">
        <v>8.1921498549832066</v>
      </c>
      <c r="S189">
        <v>15.412998383148116</v>
      </c>
      <c r="U189" t="s">
        <v>116</v>
      </c>
      <c r="W189">
        <v>64402.818522344453</v>
      </c>
      <c r="X189">
        <v>64266.883604784744</v>
      </c>
      <c r="Y189">
        <v>66905.339450471627</v>
      </c>
      <c r="Z189">
        <v>64020.710989195948</v>
      </c>
      <c r="AA189">
        <v>66221.612368288421</v>
      </c>
      <c r="AC189">
        <v>38415.503499999999</v>
      </c>
      <c r="AD189">
        <v>0.35736014793714388</v>
      </c>
    </row>
    <row r="190" spans="5:47" x14ac:dyDescent="0.45">
      <c r="E190" t="s">
        <v>117</v>
      </c>
      <c r="G190">
        <v>102315.25045212163</v>
      </c>
      <c r="H190">
        <v>108669.05078202095</v>
      </c>
      <c r="I190">
        <v>155043.50221211475</v>
      </c>
      <c r="J190">
        <v>139465.64970473544</v>
      </c>
      <c r="K190">
        <v>193811.87053792618</v>
      </c>
      <c r="M190" t="s">
        <v>117</v>
      </c>
      <c r="O190">
        <v>8.5564419952717223</v>
      </c>
      <c r="P190">
        <v>9.7799316641651757</v>
      </c>
      <c r="Q190">
        <v>14.32803827583453</v>
      </c>
      <c r="R190">
        <v>11.47563959101646</v>
      </c>
      <c r="S190">
        <v>21.397874394256341</v>
      </c>
      <c r="U190" t="s">
        <v>117</v>
      </c>
      <c r="W190">
        <v>41068.667072548684</v>
      </c>
      <c r="X190">
        <v>40921.775194413931</v>
      </c>
      <c r="Y190">
        <v>43960.581287005574</v>
      </c>
      <c r="Z190">
        <v>41136.362819752525</v>
      </c>
      <c r="AA190">
        <v>43246.230516792115</v>
      </c>
      <c r="AC190">
        <v>15399.711623999998</v>
      </c>
      <c r="AD190">
        <v>0.59459094110818489</v>
      </c>
    </row>
    <row r="191" spans="5:47" x14ac:dyDescent="0.45">
      <c r="E191" t="s">
        <v>124</v>
      </c>
      <c r="G191">
        <v>77373.072332597396</v>
      </c>
      <c r="H191">
        <v>84360.42614497563</v>
      </c>
      <c r="I191">
        <v>108916.33491574822</v>
      </c>
      <c r="J191">
        <v>104859.8262856027</v>
      </c>
      <c r="K191">
        <v>121425.6427912396</v>
      </c>
      <c r="M191" t="s">
        <v>124</v>
      </c>
      <c r="O191">
        <v>13.203015014311633</v>
      </c>
      <c r="P191">
        <v>15.715740796376702</v>
      </c>
      <c r="Q191">
        <v>22.864404069177745</v>
      </c>
      <c r="R191">
        <v>18.298591914957537</v>
      </c>
      <c r="S191">
        <v>34.064378719546717</v>
      </c>
      <c r="U191" t="s">
        <v>124</v>
      </c>
      <c r="W191">
        <v>22893.847320732079</v>
      </c>
      <c r="X191">
        <v>22844.421264223591</v>
      </c>
      <c r="Y191">
        <v>25015.032441887397</v>
      </c>
      <c r="Z191">
        <v>22667.719287075372</v>
      </c>
      <c r="AA191">
        <v>23462.541104198139</v>
      </c>
      <c r="AC191">
        <v>11500.075048549999</v>
      </c>
      <c r="AD191">
        <v>0.65108417839699206</v>
      </c>
    </row>
    <row r="192" spans="5:47" x14ac:dyDescent="0.45">
      <c r="E192" t="s">
        <v>125</v>
      </c>
      <c r="G192">
        <v>63813.955717638382</v>
      </c>
      <c r="H192">
        <v>68747.833563301334</v>
      </c>
      <c r="I192">
        <v>76734.47689463284</v>
      </c>
      <c r="J192">
        <v>79913.970537232846</v>
      </c>
      <c r="K192">
        <v>83382.477034832831</v>
      </c>
      <c r="M192" t="s">
        <v>125</v>
      </c>
      <c r="O192">
        <v>15.788623383502671</v>
      </c>
      <c r="P192">
        <v>20.520478564712292</v>
      </c>
      <c r="Q192">
        <v>27.468398825198953</v>
      </c>
      <c r="R192">
        <v>28.868969105877493</v>
      </c>
      <c r="S192">
        <v>54.357590534958383</v>
      </c>
      <c r="U192" t="s">
        <v>125</v>
      </c>
      <c r="W192">
        <v>15189.418052529589</v>
      </c>
      <c r="X192">
        <v>13523.317870161636</v>
      </c>
      <c r="Y192">
        <v>14690.666552706789</v>
      </c>
      <c r="Z192">
        <v>12858.531512192872</v>
      </c>
      <c r="AA192">
        <v>13364.858807658102</v>
      </c>
      <c r="AC192">
        <v>6161.8319904459995</v>
      </c>
      <c r="AD192">
        <v>0.57634546602838888</v>
      </c>
    </row>
    <row r="193" spans="5:47" x14ac:dyDescent="0.45">
      <c r="E193" t="s">
        <v>118</v>
      </c>
      <c r="M193" t="s">
        <v>118</v>
      </c>
      <c r="U193" t="s">
        <v>118</v>
      </c>
      <c r="AD193">
        <v>0</v>
      </c>
    </row>
    <row r="194" spans="5:47" x14ac:dyDescent="0.45">
      <c r="E194" t="s">
        <v>138</v>
      </c>
      <c r="M194" t="s">
        <v>138</v>
      </c>
      <c r="U194" t="s">
        <v>138</v>
      </c>
      <c r="AD194">
        <v>0</v>
      </c>
    </row>
    <row r="197" spans="5:47" x14ac:dyDescent="0.45">
      <c r="E197" t="s">
        <v>135</v>
      </c>
      <c r="F197" t="s">
        <v>42</v>
      </c>
      <c r="G197" t="s">
        <v>43</v>
      </c>
      <c r="H197" t="s">
        <v>427</v>
      </c>
      <c r="I197" t="s">
        <v>44</v>
      </c>
      <c r="J197" t="s">
        <v>45</v>
      </c>
      <c r="K197" t="s">
        <v>46</v>
      </c>
      <c r="M197" t="s">
        <v>135</v>
      </c>
      <c r="N197" t="s">
        <v>42</v>
      </c>
      <c r="O197" t="s">
        <v>43</v>
      </c>
      <c r="P197" t="s">
        <v>427</v>
      </c>
      <c r="Q197" t="s">
        <v>44</v>
      </c>
      <c r="R197" t="s">
        <v>45</v>
      </c>
      <c r="S197" t="s">
        <v>46</v>
      </c>
      <c r="U197" t="s">
        <v>135</v>
      </c>
      <c r="V197" t="s">
        <v>42</v>
      </c>
      <c r="W197" t="s">
        <v>43</v>
      </c>
      <c r="X197" t="s">
        <v>427</v>
      </c>
      <c r="Y197" t="s">
        <v>44</v>
      </c>
      <c r="Z197" t="s">
        <v>45</v>
      </c>
      <c r="AA197" t="s">
        <v>46</v>
      </c>
      <c r="AC197" t="s">
        <v>464</v>
      </c>
      <c r="AD197" t="s">
        <v>234</v>
      </c>
      <c r="AF197" t="s">
        <v>164</v>
      </c>
      <c r="AG197" t="s">
        <v>165</v>
      </c>
      <c r="AH197" t="s">
        <v>166</v>
      </c>
      <c r="AI197" t="s">
        <v>167</v>
      </c>
      <c r="AJ197" t="s">
        <v>168</v>
      </c>
      <c r="AK197" t="s">
        <v>169</v>
      </c>
      <c r="AL197" t="s">
        <v>418</v>
      </c>
      <c r="AM197" t="s">
        <v>419</v>
      </c>
      <c r="AN197" t="s">
        <v>420</v>
      </c>
      <c r="AP197" t="s">
        <v>173</v>
      </c>
      <c r="AQ197" t="s">
        <v>174</v>
      </c>
      <c r="AR197" t="s">
        <v>176</v>
      </c>
      <c r="AS197" t="s">
        <v>175</v>
      </c>
      <c r="AT197" t="s">
        <v>416</v>
      </c>
      <c r="AU197" t="s">
        <v>417</v>
      </c>
    </row>
    <row r="198" spans="5:47" x14ac:dyDescent="0.45">
      <c r="E198" t="s">
        <v>57</v>
      </c>
      <c r="F198">
        <v>15226.698399999999</v>
      </c>
      <c r="G198">
        <v>16271.4866</v>
      </c>
      <c r="H198">
        <v>15194.570299999999</v>
      </c>
      <c r="I198">
        <f ca="1">OFFSET(AP198,0,MATCH(Dashboard!$E$19,Lists!$AH$6:$AH$7,0)-1)</f>
        <v>17423.535500000002</v>
      </c>
      <c r="J198">
        <v>15890.3192</v>
      </c>
      <c r="K198">
        <f>INDEX(AF198:AH198,0,MATCH(Dashboard!$E$15,Lists!$AF$6:$AF$8,0))</f>
        <v>17093.6973</v>
      </c>
      <c r="M198" t="s">
        <v>57</v>
      </c>
      <c r="N198">
        <v>42.76040881095512</v>
      </c>
      <c r="O198">
        <v>43.267501217376093</v>
      </c>
      <c r="P198">
        <v>52.620341321995362</v>
      </c>
      <c r="Q198">
        <f ca="1">OFFSET(AR198,0,MATCH(Dashboard!$E$19,Lists!$AH$6:$AH$7,0)-1)</f>
        <v>103.44251717639982</v>
      </c>
      <c r="R198">
        <v>79.901713439101727</v>
      </c>
      <c r="S198">
        <f>INDEX(AF198:AN198,0,MATCH(Dashboard!$E$15,Lists!$AF$6:$AF$8,0)+3)</f>
        <v>121.53763332154629</v>
      </c>
      <c r="U198" t="s">
        <v>57</v>
      </c>
      <c r="V198">
        <v>2912.3030199999998</v>
      </c>
      <c r="W198">
        <v>3020.3293999999996</v>
      </c>
      <c r="X198">
        <v>2923.3261199999997</v>
      </c>
      <c r="Y198">
        <f ca="1">OFFSET(AT198,0,MATCH(Dashboard!$E$19,Lists!$AH$6:$AH$7,0)-1)</f>
        <v>3172.4481799999999</v>
      </c>
      <c r="Z198">
        <v>2888.0521999999996</v>
      </c>
      <c r="AA198">
        <f>INDEX(AF198:AN198,0,MATCH(Dashboard!$E$15,Lists!$AF$6:$AF$8,0)+6)</f>
        <v>2802.0720199999996</v>
      </c>
      <c r="AD198">
        <f t="shared" ref="AD198:AD207" si="9">$AG$14</f>
        <v>0.74299999999999999</v>
      </c>
      <c r="AF198">
        <v>17093.6973</v>
      </c>
      <c r="AG198">
        <v>20147.046200000001</v>
      </c>
      <c r="AH198">
        <v>24353.6175</v>
      </c>
      <c r="AI198">
        <v>121.53763332154629</v>
      </c>
      <c r="AJ198">
        <v>116.95391871865472</v>
      </c>
      <c r="AK198">
        <v>108.03599679973678</v>
      </c>
      <c r="AL198">
        <v>2802.0720199999996</v>
      </c>
      <c r="AM198">
        <v>2974.0323799999996</v>
      </c>
      <c r="AN198">
        <v>3214.3359599999999</v>
      </c>
      <c r="AP198">
        <v>15755.786099999999</v>
      </c>
      <c r="AQ198">
        <v>17423.535500000002</v>
      </c>
      <c r="AR198">
        <v>98.154399434914765</v>
      </c>
      <c r="AS198">
        <v>103.44251717639982</v>
      </c>
      <c r="AT198">
        <v>3015.9201599999997</v>
      </c>
      <c r="AU198">
        <v>3172.4481799999999</v>
      </c>
    </row>
    <row r="199" spans="5:47" x14ac:dyDescent="0.45">
      <c r="E199" t="s">
        <v>58</v>
      </c>
      <c r="F199">
        <v>19511.1914</v>
      </c>
      <c r="G199">
        <v>20589.6466</v>
      </c>
      <c r="H199">
        <v>19580.991099999999</v>
      </c>
      <c r="I199">
        <f ca="1">OFFSET(AP199,0,MATCH(Dashboard!$E$19,Lists!$AH$6:$AH$7,0)-1)</f>
        <v>21800.617699999999</v>
      </c>
      <c r="J199">
        <v>20613.3181</v>
      </c>
      <c r="K199">
        <f>INDEX(AF199:AH199,0,MATCH(Dashboard!$E$15,Lists!$AF$6:$AF$8,0))</f>
        <v>21502.277999999998</v>
      </c>
      <c r="M199" t="s">
        <v>58</v>
      </c>
      <c r="N199">
        <v>40.793724205984269</v>
      </c>
      <c r="O199">
        <v>40.896923643745431</v>
      </c>
      <c r="P199">
        <v>50.885970673352851</v>
      </c>
      <c r="Q199">
        <f ca="1">OFFSET(AR199,0,MATCH(Dashboard!$E$19,Lists!$AH$6:$AH$7,0)-1)</f>
        <v>98.980043360346173</v>
      </c>
      <c r="R199">
        <v>75.707811262589615</v>
      </c>
      <c r="S199">
        <f>INDEX(AF199:AN199,0,MATCH(Dashboard!$E$15,Lists!$AF$6:$AF$8,0)+3)</f>
        <v>117.73035927337634</v>
      </c>
      <c r="U199" t="s">
        <v>58</v>
      </c>
      <c r="V199">
        <v>3220.9498199999998</v>
      </c>
      <c r="W199">
        <v>3322.3623399999997</v>
      </c>
      <c r="X199">
        <v>3183.4712799999998</v>
      </c>
      <c r="Y199">
        <f ca="1">OFFSET(AT199,0,MATCH(Dashboard!$E$19,Lists!$AH$6:$AH$7,0)-1)</f>
        <v>3437.0025799999999</v>
      </c>
      <c r="Z199">
        <v>3157.0158399999996</v>
      </c>
      <c r="AA199">
        <f>INDEX(AF199:AN199,0,MATCH(Dashboard!$E$15,Lists!$AF$6:$AF$8,0)+6)</f>
        <v>3037.9663599999999</v>
      </c>
      <c r="AD199">
        <f t="shared" si="9"/>
        <v>0.74299999999999999</v>
      </c>
      <c r="AF199">
        <v>21502.277999999998</v>
      </c>
      <c r="AG199">
        <v>24710.867699999999</v>
      </c>
      <c r="AH199">
        <v>29131.502799999998</v>
      </c>
      <c r="AI199">
        <v>117.73035927337634</v>
      </c>
      <c r="AJ199">
        <v>113.03871280960188</v>
      </c>
      <c r="AK199">
        <v>104.12716681692505</v>
      </c>
      <c r="AL199">
        <v>3037.9663599999999</v>
      </c>
      <c r="AM199">
        <v>3220.9498199999998</v>
      </c>
      <c r="AN199">
        <v>3472.2764999999995</v>
      </c>
      <c r="AP199">
        <v>20101.183199999999</v>
      </c>
      <c r="AQ199">
        <v>21800.617699999999</v>
      </c>
      <c r="AR199">
        <v>93.722869921716338</v>
      </c>
      <c r="AS199">
        <v>98.980043360346173</v>
      </c>
      <c r="AT199">
        <v>3282.6791799999996</v>
      </c>
      <c r="AU199">
        <v>3437.0025799999999</v>
      </c>
    </row>
    <row r="200" spans="5:47" x14ac:dyDescent="0.45">
      <c r="E200" t="s">
        <v>56</v>
      </c>
      <c r="F200">
        <v>20713.613499999999</v>
      </c>
      <c r="G200">
        <v>21772.819599999999</v>
      </c>
      <c r="H200">
        <v>20867.361700000001</v>
      </c>
      <c r="I200">
        <f ca="1">OFFSET(AP200,0,MATCH(Dashboard!$E$19,Lists!$AH$6:$AH$7,0)-1)</f>
        <v>23383.886699999999</v>
      </c>
      <c r="J200">
        <v>22294.375100000001</v>
      </c>
      <c r="K200">
        <f>INDEX(AF200:AH200,0,MATCH(Dashboard!$E$15,Lists!$AF$6:$AF$8,0))</f>
        <v>23852.905999999999</v>
      </c>
      <c r="M200" t="s">
        <v>56</v>
      </c>
      <c r="N200">
        <v>36.653796469681495</v>
      </c>
      <c r="O200">
        <v>36.912732664848519</v>
      </c>
      <c r="P200">
        <v>44.570695238882379</v>
      </c>
      <c r="Q200">
        <f ca="1">OFFSET(AR200,0,MATCH(Dashboard!$E$19,Lists!$AH$6:$AH$7,0)-1)</f>
        <v>83.140850948548731</v>
      </c>
      <c r="R200">
        <v>63.142926122245434</v>
      </c>
      <c r="S200">
        <f>INDEX(AF200:AN200,0,MATCH(Dashboard!$E$15,Lists!$AF$6:$AF$8,0)+3)</f>
        <v>97.188914939852921</v>
      </c>
      <c r="U200" t="s">
        <v>56</v>
      </c>
      <c r="V200">
        <v>3498.7319399999997</v>
      </c>
      <c r="W200">
        <v>3600.1444599999995</v>
      </c>
      <c r="X200">
        <v>3489.9134599999998</v>
      </c>
      <c r="Y200">
        <f ca="1">OFFSET(AT200,0,MATCH(Dashboard!$E$19,Lists!$AH$6:$AH$7,0)-1)</f>
        <v>3776.5140599999995</v>
      </c>
      <c r="Z200">
        <v>3485.5042199999998</v>
      </c>
      <c r="AA200">
        <f>INDEX(AF200:AN200,0,MATCH(Dashboard!$E$15,Lists!$AF$6:$AF$8,0)+6)</f>
        <v>3364.2501199999997</v>
      </c>
      <c r="AD200">
        <f t="shared" si="9"/>
        <v>0.74299999999999999</v>
      </c>
      <c r="AF200">
        <v>23852.905999999999</v>
      </c>
      <c r="AG200">
        <v>27671.771199999999</v>
      </c>
      <c r="AH200">
        <v>32930.6</v>
      </c>
      <c r="AI200">
        <v>97.188914939852921</v>
      </c>
      <c r="AJ200">
        <v>93.52240398929635</v>
      </c>
      <c r="AK200">
        <v>86.560111337195593</v>
      </c>
      <c r="AL200">
        <v>3364.2501199999997</v>
      </c>
      <c r="AM200">
        <v>3580.3028799999997</v>
      </c>
      <c r="AN200">
        <v>3880.1311999999998</v>
      </c>
      <c r="AP200">
        <v>21532.856199999998</v>
      </c>
      <c r="AQ200">
        <v>23383.886699999999</v>
      </c>
      <c r="AR200">
        <v>77.617547594675983</v>
      </c>
      <c r="AS200">
        <v>83.140850948548731</v>
      </c>
      <c r="AT200">
        <v>3604.5536999999995</v>
      </c>
      <c r="AU200">
        <v>3776.5140599999995</v>
      </c>
    </row>
    <row r="201" spans="5:47" x14ac:dyDescent="0.45">
      <c r="E201" t="s">
        <v>59</v>
      </c>
      <c r="F201">
        <v>22222.649000000001</v>
      </c>
      <c r="G201">
        <v>23301.736199999999</v>
      </c>
      <c r="H201">
        <v>22440.147000000001</v>
      </c>
      <c r="I201">
        <f ca="1">OFFSET(AP201,0,MATCH(Dashboard!$E$19,Lists!$AH$6:$AH$7,0)-1)</f>
        <v>25173.102299999999</v>
      </c>
      <c r="J201">
        <v>23924.7523</v>
      </c>
      <c r="K201">
        <f>INDEX(AF201:AH201,0,MATCH(Dashboard!$E$15,Lists!$AF$6:$AF$8,0))</f>
        <v>26022.920399999999</v>
      </c>
      <c r="M201" t="s">
        <v>59</v>
      </c>
      <c r="N201">
        <v>35.178461969005454</v>
      </c>
      <c r="O201">
        <v>35.569037749582733</v>
      </c>
      <c r="P201">
        <v>41.763736239642405</v>
      </c>
      <c r="Q201">
        <f ca="1">OFFSET(AR201,0,MATCH(Dashboard!$E$19,Lists!$AH$6:$AH$7,0)-1)</f>
        <v>76.78802396065845</v>
      </c>
      <c r="R201">
        <v>58.659327935892151</v>
      </c>
      <c r="S201">
        <f>INDEX(AF201:AN201,0,MATCH(Dashboard!$E$15,Lists!$AF$6:$AF$8,0)+3)</f>
        <v>89.018224170436497</v>
      </c>
      <c r="U201" t="s">
        <v>59</v>
      </c>
      <c r="V201">
        <v>3639.8276199999996</v>
      </c>
      <c r="W201">
        <v>3750.0586199999998</v>
      </c>
      <c r="X201">
        <v>3679.5107799999996</v>
      </c>
      <c r="Y201">
        <f ca="1">OFFSET(AT201,0,MATCH(Dashboard!$E$19,Lists!$AH$6:$AH$7,0)-1)</f>
        <v>3992.5668199999996</v>
      </c>
      <c r="Z201">
        <v>3661.8738199999998</v>
      </c>
      <c r="AA201">
        <f>INDEX(AF201:AN201,0,MATCH(Dashboard!$E$15,Lists!$AF$6:$AF$8,0)+6)</f>
        <v>3558.2566799999995</v>
      </c>
      <c r="AD201">
        <f t="shared" si="9"/>
        <v>0.74299999999999999</v>
      </c>
      <c r="AF201">
        <v>26022.920399999999</v>
      </c>
      <c r="AG201">
        <v>30081.411100000001</v>
      </c>
      <c r="AH201">
        <v>35749.449800000002</v>
      </c>
      <c r="AI201">
        <v>89.018224170436497</v>
      </c>
      <c r="AJ201">
        <v>85.824927825747963</v>
      </c>
      <c r="AK201">
        <v>79.621053015812578</v>
      </c>
      <c r="AL201">
        <v>3558.2566799999995</v>
      </c>
      <c r="AM201">
        <v>3789.7417799999998</v>
      </c>
      <c r="AN201">
        <v>4111.6162999999997</v>
      </c>
      <c r="AP201">
        <v>23203.9267</v>
      </c>
      <c r="AQ201">
        <v>25173.102299999999</v>
      </c>
      <c r="AR201">
        <v>71.733755318034696</v>
      </c>
      <c r="AS201">
        <v>76.78802396065845</v>
      </c>
      <c r="AT201">
        <v>3807.3787399999997</v>
      </c>
      <c r="AU201">
        <v>3992.5668199999996</v>
      </c>
    </row>
    <row r="202" spans="5:47" x14ac:dyDescent="0.45">
      <c r="E202" t="s">
        <v>60</v>
      </c>
      <c r="F202">
        <v>24656.7935</v>
      </c>
      <c r="G202">
        <v>26385.5746</v>
      </c>
      <c r="H202">
        <v>25467.402699999999</v>
      </c>
      <c r="I202">
        <f ca="1">OFFSET(AP202,0,MATCH(Dashboard!$E$19,Lists!$AH$6:$AH$7,0)-1)</f>
        <v>28076.917099999999</v>
      </c>
      <c r="J202">
        <v>27857.245599999998</v>
      </c>
      <c r="K202">
        <f>INDEX(AF202:AH202,0,MATCH(Dashboard!$E$15,Lists!$AF$6:$AF$8,0))</f>
        <v>29093.767</v>
      </c>
      <c r="M202" t="s">
        <v>60</v>
      </c>
      <c r="N202">
        <v>29.587286391674912</v>
      </c>
      <c r="O202">
        <v>29.586258629161556</v>
      </c>
      <c r="P202">
        <v>35.061842980934372</v>
      </c>
      <c r="Q202">
        <f ca="1">OFFSET(AR202,0,MATCH(Dashboard!$E$19,Lists!$AH$6:$AH$7,0)-1)</f>
        <v>64.083199550322689</v>
      </c>
      <c r="R202">
        <v>47.686546526571661</v>
      </c>
      <c r="S202">
        <f>INDEX(AF202:AN202,0,MATCH(Dashboard!$E$15,Lists!$AF$6:$AF$8,0)+3)</f>
        <v>76.106134290288935</v>
      </c>
      <c r="U202" t="s">
        <v>60</v>
      </c>
      <c r="V202">
        <v>4122.6394</v>
      </c>
      <c r="W202">
        <v>4252.71198</v>
      </c>
      <c r="X202">
        <v>4113.8209199999992</v>
      </c>
      <c r="Y202">
        <f ca="1">OFFSET(AT202,0,MATCH(Dashboard!$E$19,Lists!$AH$6:$AH$7,0)-1)</f>
        <v>4457.7416399999993</v>
      </c>
      <c r="Z202">
        <v>4197.5964799999992</v>
      </c>
      <c r="AA202">
        <f>INDEX(AF202:AN202,0,MATCH(Dashboard!$E$15,Lists!$AF$6:$AF$8,0)+6)</f>
        <v>3955.0882799999995</v>
      </c>
      <c r="AD202">
        <f t="shared" si="9"/>
        <v>0.74299999999999999</v>
      </c>
      <c r="AF202">
        <v>29093.767</v>
      </c>
      <c r="AG202">
        <v>34016.406900000002</v>
      </c>
      <c r="AH202">
        <v>40153.056799999998</v>
      </c>
      <c r="AI202">
        <v>76.106134290288935</v>
      </c>
      <c r="AJ202">
        <v>73.298512181661351</v>
      </c>
      <c r="AK202">
        <v>68.435311313017024</v>
      </c>
      <c r="AL202">
        <v>3955.0882799999995</v>
      </c>
      <c r="AM202">
        <v>4232.8703999999998</v>
      </c>
      <c r="AN202">
        <v>4581.2003599999998</v>
      </c>
      <c r="AP202">
        <v>25792.533299999999</v>
      </c>
      <c r="AQ202">
        <v>28076.917099999999</v>
      </c>
      <c r="AR202">
        <v>59.294252525367888</v>
      </c>
      <c r="AS202">
        <v>64.083199550322689</v>
      </c>
      <c r="AT202">
        <v>4243.8934999999992</v>
      </c>
      <c r="AU202">
        <v>4457.7416399999993</v>
      </c>
    </row>
    <row r="203" spans="5:47" x14ac:dyDescent="0.45">
      <c r="E203" t="s">
        <v>119</v>
      </c>
      <c r="F203">
        <v>15480.005300000001</v>
      </c>
      <c r="G203">
        <v>16587.623800000001</v>
      </c>
      <c r="H203">
        <v>15620.0849</v>
      </c>
      <c r="I203">
        <f ca="1">OFFSET(AP203,0,MATCH(Dashboard!$E$19,Lists!$AH$6:$AH$7,0)-1)</f>
        <v>17841.6633</v>
      </c>
      <c r="J203">
        <v>16853.8976</v>
      </c>
      <c r="K203">
        <f>INDEX(AF203:AH203,0,MATCH(Dashboard!$E$15,Lists!$AF$6:$AF$8,0))</f>
        <v>17548.1715</v>
      </c>
      <c r="M203" t="s">
        <v>119</v>
      </c>
      <c r="N203">
        <v>39.745681848221615</v>
      </c>
      <c r="O203">
        <v>40.464976135405031</v>
      </c>
      <c r="P203">
        <v>49.08884052685513</v>
      </c>
      <c r="Q203">
        <f ca="1">OFFSET(AR203,0,MATCH(Dashboard!$E$19,Lists!$AH$6:$AH$7,0)-1)</f>
        <v>96.506341921687252</v>
      </c>
      <c r="R203">
        <v>73.714531765052257</v>
      </c>
      <c r="S203">
        <f>INDEX(AF203:AN203,0,MATCH(Dashboard!$E$15,Lists!$AF$6:$AF$8,0)+3)</f>
        <v>115.97256373014599</v>
      </c>
      <c r="U203" t="s">
        <v>119</v>
      </c>
      <c r="V203">
        <v>3139.3788799999998</v>
      </c>
      <c r="W203">
        <v>3254.0191199999999</v>
      </c>
      <c r="X203">
        <v>3123.9465399999999</v>
      </c>
      <c r="Y203">
        <f ca="1">OFFSET(AT203,0,MATCH(Dashboard!$E$19,Lists!$AH$6:$AH$7,0)-1)</f>
        <v>3379.6824599999995</v>
      </c>
      <c r="Z203">
        <v>3108.5141999999996</v>
      </c>
      <c r="AA203">
        <f>INDEX(AF203:AN203,0,MATCH(Dashboard!$E$15,Lists!$AF$6:$AF$8,0)+6)</f>
        <v>2967.4185199999997</v>
      </c>
      <c r="AD203">
        <f t="shared" si="9"/>
        <v>0.74299999999999999</v>
      </c>
      <c r="AF203">
        <v>17548.1715</v>
      </c>
      <c r="AG203">
        <v>20869.164799999999</v>
      </c>
      <c r="AH203">
        <v>25325.352800000001</v>
      </c>
      <c r="AI203">
        <v>115.97256373014599</v>
      </c>
      <c r="AJ203">
        <v>111.20688860133089</v>
      </c>
      <c r="AK203">
        <v>102.60772929741553</v>
      </c>
      <c r="AL203">
        <v>2967.4185199999997</v>
      </c>
      <c r="AM203">
        <v>3157.0158399999996</v>
      </c>
      <c r="AN203">
        <v>3410.5471399999997</v>
      </c>
      <c r="AP203">
        <v>16101.8531</v>
      </c>
      <c r="AQ203">
        <v>17841.6633</v>
      </c>
      <c r="AR203">
        <v>91.902701257530367</v>
      </c>
      <c r="AS203">
        <v>96.506341921687252</v>
      </c>
      <c r="AT203">
        <v>3218.7451999999998</v>
      </c>
      <c r="AU203">
        <v>3379.6824599999995</v>
      </c>
    </row>
    <row r="204" spans="5:47" x14ac:dyDescent="0.45">
      <c r="E204" t="s">
        <v>120</v>
      </c>
      <c r="F204">
        <v>20136.905299999999</v>
      </c>
      <c r="G204">
        <v>22225.3747</v>
      </c>
      <c r="H204">
        <v>20601.826000000001</v>
      </c>
      <c r="I204">
        <f ca="1">OFFSET(AP204,0,MATCH(Dashboard!$E$19,Lists!$AH$6:$AH$7,0)-1)</f>
        <v>22634.449000000001</v>
      </c>
      <c r="J204">
        <v>22779.116099999999</v>
      </c>
      <c r="K204">
        <f>INDEX(AF204:AH204,0,MATCH(Dashboard!$E$15,Lists!$AF$6:$AF$8,0))</f>
        <v>22051.8056</v>
      </c>
      <c r="M204" t="s">
        <v>120</v>
      </c>
      <c r="N204">
        <v>35.556764444670705</v>
      </c>
      <c r="O204">
        <v>36.060840493306898</v>
      </c>
      <c r="P204">
        <v>45.270204898979081</v>
      </c>
      <c r="Q204">
        <f ca="1">OFFSET(AR204,0,MATCH(Dashboard!$E$19,Lists!$AH$6:$AH$7,0)-1)</f>
        <v>90.885466497402248</v>
      </c>
      <c r="R204">
        <v>66.592640966598751</v>
      </c>
      <c r="S204">
        <f>INDEX(AF204:AN204,0,MATCH(Dashboard!$E$15,Lists!$AF$6:$AF$8,0)+3)</f>
        <v>112.05849567276047</v>
      </c>
      <c r="U204" t="s">
        <v>120</v>
      </c>
      <c r="V204">
        <v>3448.0256799999997</v>
      </c>
      <c r="W204">
        <v>3582.5074999999997</v>
      </c>
      <c r="X204">
        <v>3403.9332799999997</v>
      </c>
      <c r="Y204">
        <f ca="1">OFFSET(AT204,0,MATCH(Dashboard!$E$19,Lists!$AH$6:$AH$7,0)-1)</f>
        <v>3666.2830599999998</v>
      </c>
      <c r="Z204">
        <v>3445.8210599999998</v>
      </c>
      <c r="AA204">
        <f>INDEX(AF204:AN204,0,MATCH(Dashboard!$E$15,Lists!$AF$6:$AF$8,0)+6)</f>
        <v>3174.6527999999998</v>
      </c>
      <c r="AD204">
        <f t="shared" si="9"/>
        <v>0.74299999999999999</v>
      </c>
      <c r="AF204">
        <v>22051.8056</v>
      </c>
      <c r="AG204">
        <v>25521.263299999999</v>
      </c>
      <c r="AH204">
        <v>30124.548500000001</v>
      </c>
      <c r="AI204">
        <v>112.05849567276047</v>
      </c>
      <c r="AJ204">
        <v>107.38174446587206</v>
      </c>
      <c r="AK204">
        <v>98.924169713376415</v>
      </c>
      <c r="AL204">
        <v>3174.6527999999998</v>
      </c>
      <c r="AM204">
        <v>3370.8639799999996</v>
      </c>
      <c r="AN204">
        <v>3633.2137599999996</v>
      </c>
      <c r="AP204">
        <v>21015.856</v>
      </c>
      <c r="AQ204">
        <v>22634.449000000001</v>
      </c>
      <c r="AR204">
        <v>85.787664655019611</v>
      </c>
      <c r="AS204">
        <v>90.885466497402248</v>
      </c>
      <c r="AT204">
        <v>3503.1411799999996</v>
      </c>
      <c r="AU204">
        <v>3666.2830599999998</v>
      </c>
    </row>
    <row r="205" spans="5:47" x14ac:dyDescent="0.45">
      <c r="E205" t="s">
        <v>121</v>
      </c>
      <c r="F205">
        <v>21082.1921</v>
      </c>
      <c r="G205">
        <v>23075.176500000001</v>
      </c>
      <c r="H205">
        <v>21722.3488</v>
      </c>
      <c r="I205">
        <f ca="1">OFFSET(AP205,0,MATCH(Dashboard!$E$19,Lists!$AH$6:$AH$7,0)-1)</f>
        <v>24030.746999999999</v>
      </c>
      <c r="J205">
        <v>23794.376100000001</v>
      </c>
      <c r="K205">
        <f>INDEX(AF205:AH205,0,MATCH(Dashboard!$E$15,Lists!$AF$6:$AF$8,0))</f>
        <v>24331.8505</v>
      </c>
      <c r="M205" t="s">
        <v>121</v>
      </c>
      <c r="N205">
        <v>34.123153620991225</v>
      </c>
      <c r="O205">
        <v>34.394357950960291</v>
      </c>
      <c r="P205">
        <v>40.68585870447577</v>
      </c>
      <c r="Q205">
        <f ca="1">OFFSET(AR205,0,MATCH(Dashboard!$E$19,Lists!$AH$6:$AH$7,0)-1)</f>
        <v>78.020401247470488</v>
      </c>
      <c r="R205">
        <v>58.271321224653413</v>
      </c>
      <c r="S205">
        <f>INDEX(AF205:AN205,0,MATCH(Dashboard!$E$15,Lists!$AF$6:$AF$8,0)+3)</f>
        <v>93.837095982977829</v>
      </c>
      <c r="U205" t="s">
        <v>121</v>
      </c>
      <c r="V205">
        <v>3769.9001999999996</v>
      </c>
      <c r="W205">
        <v>3891.1542999999997</v>
      </c>
      <c r="X205">
        <v>3767.6955799999996</v>
      </c>
      <c r="Y205">
        <f ca="1">OFFSET(AT205,0,MATCH(Dashboard!$E$19,Lists!$AH$6:$AH$7,0)-1)</f>
        <v>4069.7285199999997</v>
      </c>
      <c r="Z205">
        <v>3791.9463999999998</v>
      </c>
      <c r="AA205">
        <f>INDEX(AF205:AN205,0,MATCH(Dashboard!$E$15,Lists!$AF$6:$AF$8,0)+6)</f>
        <v>3569.2797799999998</v>
      </c>
      <c r="AD205">
        <f t="shared" si="9"/>
        <v>0.74299999999999999</v>
      </c>
      <c r="AF205">
        <v>24331.8505</v>
      </c>
      <c r="AG205">
        <v>28375.558700000001</v>
      </c>
      <c r="AH205">
        <v>33849.912700000001</v>
      </c>
      <c r="AI205">
        <v>93.837095982977829</v>
      </c>
      <c r="AJ205">
        <v>90.111060979463616</v>
      </c>
      <c r="AK205">
        <v>83.267010144904972</v>
      </c>
      <c r="AL205">
        <v>3569.2797799999998</v>
      </c>
      <c r="AM205">
        <v>3798.5602599999997</v>
      </c>
      <c r="AN205">
        <v>4109.4116799999993</v>
      </c>
      <c r="AP205">
        <v>22237.115099999999</v>
      </c>
      <c r="AQ205">
        <v>24030.746999999999</v>
      </c>
      <c r="AR205">
        <v>72.290349350438106</v>
      </c>
      <c r="AS205">
        <v>78.020401247470488</v>
      </c>
      <c r="AT205">
        <v>3886.7450599999997</v>
      </c>
      <c r="AU205">
        <v>4069.7285199999997</v>
      </c>
    </row>
    <row r="206" spans="5:47" x14ac:dyDescent="0.45">
      <c r="E206" t="s">
        <v>122</v>
      </c>
      <c r="F206">
        <v>23155.0681</v>
      </c>
      <c r="G206">
        <v>24860.183300000001</v>
      </c>
      <c r="H206">
        <v>23612.320500000002</v>
      </c>
      <c r="I206">
        <f ca="1">OFFSET(AP206,0,MATCH(Dashboard!$E$19,Lists!$AH$6:$AH$7,0)-1)</f>
        <v>26321.308000000001</v>
      </c>
      <c r="J206">
        <v>26263.4267</v>
      </c>
      <c r="K206">
        <f>INDEX(AF206:AH206,0,MATCH(Dashboard!$E$15,Lists!$AF$6:$AF$8,0))</f>
        <v>26871.149099999999</v>
      </c>
      <c r="M206" t="s">
        <v>122</v>
      </c>
      <c r="N206">
        <v>31.115149039613559</v>
      </c>
      <c r="O206">
        <v>31.379496106963916</v>
      </c>
      <c r="P206">
        <v>37.626660857749748</v>
      </c>
      <c r="Q206">
        <f ca="1">OFFSET(AR206,0,MATCH(Dashboard!$E$19,Lists!$AH$6:$AH$7,0)-1)</f>
        <v>70.14677282702857</v>
      </c>
      <c r="R206">
        <v>51.997687347719356</v>
      </c>
      <c r="S206">
        <f>INDEX(AF206:AN206,0,MATCH(Dashboard!$E$15,Lists!$AF$6:$AF$8,0)+3)</f>
        <v>84.071547579490655</v>
      </c>
      <c r="U206" t="s">
        <v>122</v>
      </c>
      <c r="V206">
        <v>4173.34566</v>
      </c>
      <c r="W206">
        <v>4303.41824</v>
      </c>
      <c r="X206">
        <v>4186.5733799999998</v>
      </c>
      <c r="Y206">
        <f ca="1">OFFSET(AT206,0,MATCH(Dashboard!$E$19,Lists!$AH$6:$AH$7,0)-1)</f>
        <v>4519.4709999999995</v>
      </c>
      <c r="Z206">
        <v>4257.12122</v>
      </c>
      <c r="AA206">
        <f>INDEX(AF206:AN206,0,MATCH(Dashboard!$E$15,Lists!$AF$6:$AF$8,0)+6)</f>
        <v>4003.5899199999994</v>
      </c>
      <c r="AD206">
        <f t="shared" si="9"/>
        <v>0.74299999999999999</v>
      </c>
      <c r="AF206">
        <v>26871.149099999999</v>
      </c>
      <c r="AG206">
        <v>31363.7729</v>
      </c>
      <c r="AH206">
        <v>37462.803800000002</v>
      </c>
      <c r="AI206">
        <v>84.071547579490655</v>
      </c>
      <c r="AJ206">
        <v>80.783747733706122</v>
      </c>
      <c r="AK206">
        <v>74.644830766087438</v>
      </c>
      <c r="AL206">
        <v>4003.5899199999994</v>
      </c>
      <c r="AM206">
        <v>4257.12122</v>
      </c>
      <c r="AN206">
        <v>4605.45118</v>
      </c>
      <c r="AP206">
        <v>24174.678899999999</v>
      </c>
      <c r="AQ206">
        <v>26321.308000000001</v>
      </c>
      <c r="AR206">
        <v>64.631190957247242</v>
      </c>
      <c r="AS206">
        <v>70.14677282702857</v>
      </c>
      <c r="AT206">
        <v>4318.8505799999994</v>
      </c>
      <c r="AU206">
        <v>4519.4709999999995</v>
      </c>
    </row>
    <row r="207" spans="5:47" x14ac:dyDescent="0.45">
      <c r="E207" t="s">
        <v>123</v>
      </c>
      <c r="F207">
        <v>24863.810600000001</v>
      </c>
      <c r="G207">
        <v>26594.411899999999</v>
      </c>
      <c r="H207">
        <v>26024.088500000002</v>
      </c>
      <c r="I207">
        <f ca="1">OFFSET(AP207,0,MATCH(Dashboard!$E$19,Lists!$AH$6:$AH$7,0)-1)</f>
        <v>28530.934099999999</v>
      </c>
      <c r="J207">
        <v>28808.014800000001</v>
      </c>
      <c r="K207">
        <f>INDEX(AF207:AH207,0,MATCH(Dashboard!$E$15,Lists!$AF$6:$AF$8,0))</f>
        <v>29876.130399999998</v>
      </c>
      <c r="M207" t="s">
        <v>123</v>
      </c>
      <c r="N207">
        <v>27.742271405234042</v>
      </c>
      <c r="O207">
        <v>27.740105699070497</v>
      </c>
      <c r="P207">
        <v>32.573631890835081</v>
      </c>
      <c r="Q207">
        <f ca="1">OFFSET(AR207,0,MATCH(Dashboard!$E$19,Lists!$AH$6:$AH$7,0)-1)</f>
        <v>60.130087650284871</v>
      </c>
      <c r="R207">
        <v>44.299370294681815</v>
      </c>
      <c r="S207">
        <f>INDEX(AF207:AN207,0,MATCH(Dashboard!$E$15,Lists!$AF$6:$AF$8,0)+3)</f>
        <v>71.418231288699758</v>
      </c>
      <c r="U207" t="s">
        <v>123</v>
      </c>
      <c r="V207">
        <v>4711.2729399999998</v>
      </c>
      <c r="W207">
        <v>4861.1870999999992</v>
      </c>
      <c r="X207">
        <v>4658.3620599999995</v>
      </c>
      <c r="Y207">
        <f ca="1">OFFSET(AT207,0,MATCH(Dashboard!$E$19,Lists!$AH$6:$AH$7,0)-1)</f>
        <v>5015.5104999999994</v>
      </c>
      <c r="Z207">
        <v>4801.6623599999994</v>
      </c>
      <c r="AA207">
        <f>INDEX(AF207:AN207,0,MATCH(Dashboard!$E$15,Lists!$AF$6:$AF$8,0)+6)</f>
        <v>4519.4709999999995</v>
      </c>
      <c r="AD207">
        <f t="shared" si="9"/>
        <v>0.74299999999999999</v>
      </c>
      <c r="AF207">
        <v>29876.130399999998</v>
      </c>
      <c r="AG207">
        <v>34950.604800000001</v>
      </c>
      <c r="AH207">
        <v>42085.277600000001</v>
      </c>
      <c r="AI207">
        <v>71.418231288699758</v>
      </c>
      <c r="AJ207">
        <v>68.844514171244057</v>
      </c>
      <c r="AK207">
        <v>63.762184915801093</v>
      </c>
      <c r="AL207">
        <v>4519.4709999999995</v>
      </c>
      <c r="AM207">
        <v>4806.0715999999993</v>
      </c>
      <c r="AN207">
        <v>5211.7216799999997</v>
      </c>
      <c r="AP207">
        <v>26137.533899999999</v>
      </c>
      <c r="AQ207">
        <v>28530.934099999999</v>
      </c>
      <c r="AR207">
        <v>55.830976554093645</v>
      </c>
      <c r="AS207">
        <v>60.130087650284871</v>
      </c>
      <c r="AT207">
        <v>4788.4346399999995</v>
      </c>
      <c r="AU207">
        <v>5015.5104999999994</v>
      </c>
    </row>
    <row r="208" spans="5:47" x14ac:dyDescent="0.45">
      <c r="E208" t="s">
        <v>115</v>
      </c>
      <c r="G208">
        <v>153585.89025644513</v>
      </c>
      <c r="H208">
        <v>161113.38255031232</v>
      </c>
      <c r="I208">
        <v>221758.10151610427</v>
      </c>
      <c r="J208">
        <v>179698.86070041102</v>
      </c>
      <c r="K208">
        <v>288225.3579632254</v>
      </c>
      <c r="M208" t="s">
        <v>115</v>
      </c>
      <c r="O208">
        <v>9.1541783391047478</v>
      </c>
      <c r="P208">
        <v>9.2228361056793773</v>
      </c>
      <c r="Q208">
        <v>9.9672565120023808</v>
      </c>
      <c r="R208">
        <v>9.0890046395821109</v>
      </c>
      <c r="S208">
        <v>16.071721379005741</v>
      </c>
      <c r="U208" t="s">
        <v>115</v>
      </c>
      <c r="W208">
        <v>66452.298151978568</v>
      </c>
      <c r="X208">
        <v>66167.686201688499</v>
      </c>
      <c r="Y208">
        <v>69500.839301232918</v>
      </c>
      <c r="Z208">
        <v>66423.90442447862</v>
      </c>
      <c r="AA208">
        <v>69971.729029343449</v>
      </c>
      <c r="AC208">
        <v>38694.755440153996</v>
      </c>
      <c r="AD208">
        <v>0.33347030768091734</v>
      </c>
    </row>
    <row r="209" spans="5:47" x14ac:dyDescent="0.45">
      <c r="E209" t="s">
        <v>116</v>
      </c>
      <c r="G209">
        <v>133386.29772396167</v>
      </c>
      <c r="H209">
        <v>136523.3580383253</v>
      </c>
      <c r="I209">
        <v>160693.64793641382</v>
      </c>
      <c r="J209">
        <v>150551.64469842892</v>
      </c>
      <c r="K209">
        <v>184001.48216031818</v>
      </c>
      <c r="M209" t="s">
        <v>116</v>
      </c>
      <c r="O209">
        <v>8.5923464236502962</v>
      </c>
      <c r="P209">
        <v>8.8917445125013881</v>
      </c>
      <c r="Q209">
        <v>10.022714271153189</v>
      </c>
      <c r="R209">
        <v>8.9205556441015759</v>
      </c>
      <c r="S209">
        <v>16.660225224703293</v>
      </c>
      <c r="U209" t="s">
        <v>116</v>
      </c>
      <c r="W209">
        <v>64147.939600462239</v>
      </c>
      <c r="X209">
        <v>63657.751420531567</v>
      </c>
      <c r="Y209">
        <v>65349.910773208845</v>
      </c>
      <c r="Z209">
        <v>62938.358820632398</v>
      </c>
      <c r="AA209">
        <v>64040.381345250775</v>
      </c>
      <c r="AC209">
        <v>38638.904919845991</v>
      </c>
      <c r="AD209">
        <v>0.37528795182571928</v>
      </c>
    </row>
    <row r="210" spans="5:47" x14ac:dyDescent="0.45">
      <c r="E210" t="s">
        <v>117</v>
      </c>
      <c r="G210">
        <v>105284.36576940345</v>
      </c>
      <c r="H210">
        <v>110026.84495836978</v>
      </c>
      <c r="I210">
        <v>132560.90133320581</v>
      </c>
      <c r="J210">
        <v>112715.60892022365</v>
      </c>
      <c r="K210">
        <v>147846.15354800041</v>
      </c>
      <c r="M210" t="s">
        <v>117</v>
      </c>
      <c r="O210">
        <v>9.3003213271212246</v>
      </c>
      <c r="P210">
        <v>10.568085029633981</v>
      </c>
      <c r="Q210">
        <v>15.816418445747606</v>
      </c>
      <c r="R210">
        <v>12.554262926271715</v>
      </c>
      <c r="S210">
        <v>22.991195390034115</v>
      </c>
      <c r="U210" t="s">
        <v>117</v>
      </c>
      <c r="W210">
        <v>40828.784756672976</v>
      </c>
      <c r="X210">
        <v>40230.284218918714</v>
      </c>
      <c r="Y210">
        <v>42811.370387848969</v>
      </c>
      <c r="Z210">
        <v>40219.274642940516</v>
      </c>
      <c r="AA210">
        <v>41518.492547728936</v>
      </c>
      <c r="AC210">
        <v>15645.453340153997</v>
      </c>
      <c r="AD210">
        <v>0.60524179289613</v>
      </c>
    </row>
    <row r="211" spans="5:47" x14ac:dyDescent="0.45">
      <c r="E211" t="s">
        <v>124</v>
      </c>
      <c r="G211">
        <v>78848.665456501069</v>
      </c>
      <c r="H211">
        <v>83444.831510701639</v>
      </c>
      <c r="I211">
        <v>95264.133875948915</v>
      </c>
      <c r="J211">
        <v>82819.893213883959</v>
      </c>
      <c r="K211">
        <v>95815.845779538169</v>
      </c>
      <c r="M211" t="s">
        <v>124</v>
      </c>
      <c r="O211">
        <v>14.103793978259221</v>
      </c>
      <c r="P211">
        <v>17.025272507672796</v>
      </c>
      <c r="Q211">
        <v>25.300487534964358</v>
      </c>
      <c r="R211">
        <v>20.08736476958596</v>
      </c>
      <c r="S211">
        <v>36.615915685139072</v>
      </c>
      <c r="U211" t="s">
        <v>124</v>
      </c>
      <c r="W211">
        <v>22909.050866307465</v>
      </c>
      <c r="X211">
        <v>22381.751936128876</v>
      </c>
      <c r="Y211">
        <v>24304.727657335301</v>
      </c>
      <c r="Z211">
        <v>22043.704031449757</v>
      </c>
      <c r="AA211">
        <v>22531.126288921449</v>
      </c>
      <c r="AC211">
        <v>11625.462811049998</v>
      </c>
      <c r="AD211">
        <v>0.66767140618307108</v>
      </c>
    </row>
    <row r="212" spans="5:47" x14ac:dyDescent="0.45">
      <c r="E212" t="s">
        <v>125</v>
      </c>
      <c r="G212">
        <v>64989.3396205975</v>
      </c>
      <c r="H212">
        <v>66789.121956157702</v>
      </c>
      <c r="I212">
        <v>67418.754840779598</v>
      </c>
      <c r="J212">
        <v>61507.382560822945</v>
      </c>
      <c r="K212">
        <v>66193.18882539183</v>
      </c>
      <c r="M212" t="s">
        <v>125</v>
      </c>
      <c r="O212">
        <v>16.72745910285801</v>
      </c>
      <c r="P212">
        <v>22.757561813887481</v>
      </c>
      <c r="Q212">
        <v>30.106719638481742</v>
      </c>
      <c r="R212">
        <v>31.904852403571269</v>
      </c>
      <c r="S212">
        <v>58.834124144302521</v>
      </c>
      <c r="U212" t="s">
        <v>125</v>
      </c>
      <c r="W212">
        <v>15323.281905292899</v>
      </c>
      <c r="X212">
        <v>13195.163355425677</v>
      </c>
      <c r="Y212">
        <v>14156.46584096715</v>
      </c>
      <c r="Z212">
        <v>12477.556620058313</v>
      </c>
      <c r="AA212">
        <v>12760.414259945583</v>
      </c>
      <c r="AC212">
        <v>6233.482140445999</v>
      </c>
      <c r="AD212">
        <v>0.59714529575056075</v>
      </c>
    </row>
    <row r="213" spans="5:47" x14ac:dyDescent="0.45">
      <c r="E213" t="s">
        <v>118</v>
      </c>
      <c r="G213">
        <v>126063.62099336338</v>
      </c>
      <c r="J213">
        <v>124768.70251128626</v>
      </c>
      <c r="M213" t="s">
        <v>118</v>
      </c>
      <c r="O213">
        <v>10.076912272589301</v>
      </c>
      <c r="R213">
        <v>15.017267306190995</v>
      </c>
      <c r="U213" t="s">
        <v>118</v>
      </c>
      <c r="W213">
        <v>34746.998926424509</v>
      </c>
      <c r="Z213">
        <v>33420.555292841054</v>
      </c>
      <c r="AC213">
        <v>9371.8396199999988</v>
      </c>
      <c r="AD213">
        <v>0</v>
      </c>
    </row>
    <row r="214" spans="5:47" x14ac:dyDescent="0.45">
      <c r="E214" t="s">
        <v>138</v>
      </c>
      <c r="G214">
        <v>112136.50197004317</v>
      </c>
      <c r="J214">
        <v>114186.78537380329</v>
      </c>
      <c r="M214" t="s">
        <v>138</v>
      </c>
      <c r="O214">
        <v>6.5646937681441733</v>
      </c>
      <c r="R214">
        <v>12.664496958571952</v>
      </c>
      <c r="U214" t="s">
        <v>138</v>
      </c>
      <c r="W214">
        <v>53398.620221745616</v>
      </c>
      <c r="Z214">
        <v>52277.327341627992</v>
      </c>
      <c r="AC214">
        <v>27890.647619999996</v>
      </c>
      <c r="AD214">
        <v>0</v>
      </c>
    </row>
    <row r="217" spans="5:47" x14ac:dyDescent="0.45">
      <c r="E217" t="s">
        <v>136</v>
      </c>
      <c r="F217" t="s">
        <v>42</v>
      </c>
      <c r="G217" t="s">
        <v>43</v>
      </c>
      <c r="H217" t="s">
        <v>427</v>
      </c>
      <c r="I217" t="s">
        <v>44</v>
      </c>
      <c r="J217" t="s">
        <v>45</v>
      </c>
      <c r="K217" t="s">
        <v>46</v>
      </c>
      <c r="M217" t="s">
        <v>136</v>
      </c>
      <c r="N217" t="s">
        <v>42</v>
      </c>
      <c r="O217" t="s">
        <v>43</v>
      </c>
      <c r="P217" t="s">
        <v>427</v>
      </c>
      <c r="Q217" t="s">
        <v>44</v>
      </c>
      <c r="R217" t="s">
        <v>45</v>
      </c>
      <c r="S217" t="s">
        <v>46</v>
      </c>
      <c r="U217" t="s">
        <v>136</v>
      </c>
      <c r="V217" t="s">
        <v>42</v>
      </c>
      <c r="W217" t="s">
        <v>43</v>
      </c>
      <c r="X217" t="s">
        <v>427</v>
      </c>
      <c r="Y217" t="s">
        <v>44</v>
      </c>
      <c r="Z217" t="s">
        <v>45</v>
      </c>
      <c r="AA217" t="s">
        <v>46</v>
      </c>
      <c r="AC217" t="s">
        <v>464</v>
      </c>
      <c r="AD217" t="s">
        <v>234</v>
      </c>
      <c r="AF217" t="s">
        <v>164</v>
      </c>
      <c r="AG217" t="s">
        <v>165</v>
      </c>
      <c r="AH217" t="s">
        <v>166</v>
      </c>
      <c r="AI217" t="s">
        <v>167</v>
      </c>
      <c r="AJ217" t="s">
        <v>168</v>
      </c>
      <c r="AK217" t="s">
        <v>169</v>
      </c>
      <c r="AL217" t="s">
        <v>418</v>
      </c>
      <c r="AM217" t="s">
        <v>419</v>
      </c>
      <c r="AN217" t="s">
        <v>420</v>
      </c>
      <c r="AP217" t="s">
        <v>173</v>
      </c>
      <c r="AQ217" t="s">
        <v>174</v>
      </c>
      <c r="AR217" t="s">
        <v>176</v>
      </c>
      <c r="AS217" t="s">
        <v>175</v>
      </c>
      <c r="AT217" t="s">
        <v>416</v>
      </c>
      <c r="AU217" t="s">
        <v>417</v>
      </c>
    </row>
    <row r="218" spans="5:47" x14ac:dyDescent="0.45">
      <c r="E218" t="s">
        <v>57</v>
      </c>
      <c r="F218">
        <v>15106.2619</v>
      </c>
      <c r="G218">
        <v>16305.6865</v>
      </c>
      <c r="H218">
        <v>14996.824500000001</v>
      </c>
      <c r="I218">
        <f ca="1">OFFSET(AP218,0,MATCH(Dashboard!$E$19,Lists!$AH$6:$AH$7,0)-1)</f>
        <v>16647.797299999998</v>
      </c>
      <c r="J218">
        <v>15423.897300000001</v>
      </c>
      <c r="K218">
        <f>INDEX(AF218:AH218,0,MATCH(Dashboard!$E$15,Lists!$AF$6:$AF$8,0))</f>
        <v>15681.8776</v>
      </c>
      <c r="M218" t="s">
        <v>57</v>
      </c>
      <c r="N218">
        <v>45.892301465221415</v>
      </c>
      <c r="O218">
        <v>48.427949577732221</v>
      </c>
      <c r="P218">
        <v>56.997459785581981</v>
      </c>
      <c r="Q218">
        <f ca="1">OFFSET(AR218,0,MATCH(Dashboard!$E$19,Lists!$AH$6:$AH$7,0)-1)</f>
        <v>114.65779244363523</v>
      </c>
      <c r="R218">
        <v>92.725569664646486</v>
      </c>
      <c r="S218">
        <f>INDEX(AF218:AN218,0,MATCH(Dashboard!$E$15,Lists!$AF$6:$AF$8,0)+3)</f>
        <v>128.62919219926485</v>
      </c>
      <c r="U218" t="s">
        <v>57</v>
      </c>
      <c r="V218">
        <v>2881.4383399999997</v>
      </c>
      <c r="W218">
        <v>2989.4647199999999</v>
      </c>
      <c r="X218">
        <v>2890.2568199999996</v>
      </c>
      <c r="Y218">
        <f ca="1">OFFSET(AT218,0,MATCH(Dashboard!$E$19,Lists!$AH$6:$AH$7,0)-1)</f>
        <v>3086.4679999999998</v>
      </c>
      <c r="Z218">
        <v>2799.8673999999996</v>
      </c>
      <c r="AA218">
        <f>INDEX(AF218:AN218,0,MATCH(Dashboard!$E$15,Lists!$AF$6:$AF$8,0)+6)</f>
        <v>2744.7518999999998</v>
      </c>
      <c r="AD218">
        <f t="shared" ref="AD218:AD227" si="10">$AG$14</f>
        <v>0.74299999999999999</v>
      </c>
      <c r="AF218">
        <v>15681.8776</v>
      </c>
      <c r="AG218">
        <v>18284.241000000002</v>
      </c>
      <c r="AH218">
        <v>20655.804400000001</v>
      </c>
      <c r="AI218">
        <v>128.62919219926485</v>
      </c>
      <c r="AJ218">
        <v>121.09125805701932</v>
      </c>
      <c r="AK218">
        <v>117.57905711845254</v>
      </c>
      <c r="AL218">
        <v>2744.7518999999998</v>
      </c>
      <c r="AM218">
        <v>2927.7353599999997</v>
      </c>
      <c r="AN218">
        <v>3095.2864799999998</v>
      </c>
      <c r="AP218">
        <v>15369.8685</v>
      </c>
      <c r="AQ218">
        <v>16647.797299999998</v>
      </c>
      <c r="AR218">
        <v>108.54897663157774</v>
      </c>
      <c r="AS218">
        <v>114.65779244363523</v>
      </c>
      <c r="AT218">
        <v>2963.0092799999998</v>
      </c>
      <c r="AU218">
        <v>3086.4679999999998</v>
      </c>
    </row>
    <row r="219" spans="5:47" x14ac:dyDescent="0.45">
      <c r="E219" t="s">
        <v>58</v>
      </c>
      <c r="F219">
        <v>19862.3272</v>
      </c>
      <c r="G219">
        <v>21097.577099999999</v>
      </c>
      <c r="H219">
        <v>19787.7189</v>
      </c>
      <c r="I219">
        <f ca="1">OFFSET(AP219,0,MATCH(Dashboard!$E$19,Lists!$AH$6:$AH$7,0)-1)</f>
        <v>21453.851900000001</v>
      </c>
      <c r="J219">
        <v>20436.243999999999</v>
      </c>
      <c r="K219">
        <f>INDEX(AF219:AH219,0,MATCH(Dashboard!$E$15,Lists!$AF$6:$AF$8,0))</f>
        <v>20471.309099999999</v>
      </c>
      <c r="M219" t="s">
        <v>58</v>
      </c>
      <c r="N219">
        <v>45.001460510977232</v>
      </c>
      <c r="O219">
        <v>46.155986154334947</v>
      </c>
      <c r="P219">
        <v>54.960943997146494</v>
      </c>
      <c r="Q219">
        <f ca="1">OFFSET(AR219,0,MATCH(Dashboard!$E$19,Lists!$AH$6:$AH$7,0)-1)</f>
        <v>111.40072550424962</v>
      </c>
      <c r="R219">
        <v>89.509486701335604</v>
      </c>
      <c r="S219">
        <f>INDEX(AF219:AN219,0,MATCH(Dashboard!$E$15,Lists!$AF$6:$AF$8,0)+3)</f>
        <v>126.28752521207817</v>
      </c>
      <c r="U219" t="s">
        <v>58</v>
      </c>
      <c r="V219">
        <v>3084.2633799999999</v>
      </c>
      <c r="W219">
        <v>3185.6758999999997</v>
      </c>
      <c r="X219">
        <v>3040.1709799999999</v>
      </c>
      <c r="Y219">
        <f ca="1">OFFSET(AT219,0,MATCH(Dashboard!$E$19,Lists!$AH$6:$AH$7,0)-1)</f>
        <v>3240.7913999999996</v>
      </c>
      <c r="Z219">
        <v>2951.9861799999999</v>
      </c>
      <c r="AA219">
        <f>INDEX(AF219:AN219,0,MATCH(Dashboard!$E$15,Lists!$AF$6:$AF$8,0)+6)</f>
        <v>2874.8244799999998</v>
      </c>
      <c r="AD219">
        <f t="shared" si="10"/>
        <v>0.74299999999999999</v>
      </c>
      <c r="AF219">
        <v>20471.309099999999</v>
      </c>
      <c r="AG219">
        <v>23107.09</v>
      </c>
      <c r="AH219">
        <v>25553.452399999998</v>
      </c>
      <c r="AI219">
        <v>126.28752521207817</v>
      </c>
      <c r="AJ219">
        <v>118.85386821452356</v>
      </c>
      <c r="AK219">
        <v>115.36807753283792</v>
      </c>
      <c r="AL219">
        <v>2874.8244799999998</v>
      </c>
      <c r="AM219">
        <v>3057.8079399999997</v>
      </c>
      <c r="AN219">
        <v>3229.7682999999997</v>
      </c>
      <c r="AP219">
        <v>20154.349200000001</v>
      </c>
      <c r="AQ219">
        <v>21453.851900000001</v>
      </c>
      <c r="AR219">
        <v>105.69301973285091</v>
      </c>
      <c r="AS219">
        <v>111.40072550424962</v>
      </c>
      <c r="AT219">
        <v>3117.3326799999995</v>
      </c>
      <c r="AU219">
        <v>3240.7913999999996</v>
      </c>
    </row>
    <row r="220" spans="5:47" x14ac:dyDescent="0.45">
      <c r="E220" t="s">
        <v>56</v>
      </c>
      <c r="F220">
        <v>20968.077399999998</v>
      </c>
      <c r="G220">
        <v>22195.512900000002</v>
      </c>
      <c r="H220">
        <v>21010.978599999999</v>
      </c>
      <c r="I220">
        <f ca="1">OFFSET(AP220,0,MATCH(Dashboard!$E$19,Lists!$AH$6:$AH$7,0)-1)</f>
        <v>22776.945899999999</v>
      </c>
      <c r="J220">
        <v>21997.254400000002</v>
      </c>
      <c r="K220">
        <f>INDEX(AF220:AH220,0,MATCH(Dashboard!$E$15,Lists!$AF$6:$AF$8,0))</f>
        <v>22355.882699999998</v>
      </c>
      <c r="M220" t="s">
        <v>56</v>
      </c>
      <c r="N220">
        <v>40.322975425815848</v>
      </c>
      <c r="O220">
        <v>42.055363539798563</v>
      </c>
      <c r="P220">
        <v>48.602033329692361</v>
      </c>
      <c r="Q220">
        <f ca="1">OFFSET(AR220,0,MATCH(Dashboard!$E$19,Lists!$AH$6:$AH$7,0)-1)</f>
        <v>93.627347180482289</v>
      </c>
      <c r="R220">
        <v>74.376811710915149</v>
      </c>
      <c r="S220">
        <f>INDEX(AF220:AN220,0,MATCH(Dashboard!$E$15,Lists!$AF$6:$AF$8,0)+3)</f>
        <v>104.49040575400943</v>
      </c>
      <c r="U220" t="s">
        <v>56</v>
      </c>
      <c r="V220">
        <v>3377.4778399999996</v>
      </c>
      <c r="W220">
        <v>3478.8903599999999</v>
      </c>
      <c r="X220">
        <v>3362.0454999999997</v>
      </c>
      <c r="Y220">
        <f ca="1">OFFSET(AT220,0,MATCH(Dashboard!$E$19,Lists!$AH$6:$AH$7,0)-1)</f>
        <v>3595.7352199999996</v>
      </c>
      <c r="Z220">
        <v>3287.0884199999996</v>
      </c>
      <c r="AA220">
        <f>INDEX(AF220:AN220,0,MATCH(Dashboard!$E$15,Lists!$AF$6:$AF$8,0)+6)</f>
        <v>3209.9267199999999</v>
      </c>
      <c r="AD220">
        <f t="shared" si="10"/>
        <v>0.74299999999999999</v>
      </c>
      <c r="AF220">
        <v>22355.882699999998</v>
      </c>
      <c r="AG220">
        <v>25556.408599999999</v>
      </c>
      <c r="AH220">
        <v>28458.477500000001</v>
      </c>
      <c r="AI220">
        <v>104.49040575400943</v>
      </c>
      <c r="AJ220">
        <v>98.711344155772366</v>
      </c>
      <c r="AK220">
        <v>95.880668053001827</v>
      </c>
      <c r="AL220">
        <v>3209.9267199999999</v>
      </c>
      <c r="AM220">
        <v>3432.5933399999999</v>
      </c>
      <c r="AN220">
        <v>3635.4183799999996</v>
      </c>
      <c r="AP220">
        <v>21370.7798</v>
      </c>
      <c r="AQ220">
        <v>22776.945899999999</v>
      </c>
      <c r="AR220">
        <v>87.250579611973407</v>
      </c>
      <c r="AS220">
        <v>93.627347180482289</v>
      </c>
      <c r="AT220">
        <v>3454.6395399999997</v>
      </c>
      <c r="AU220">
        <v>3595.7352199999996</v>
      </c>
    </row>
    <row r="221" spans="5:47" x14ac:dyDescent="0.45">
      <c r="E221" t="s">
        <v>59</v>
      </c>
      <c r="F221">
        <v>22476.347399999999</v>
      </c>
      <c r="G221">
        <v>23727.2595</v>
      </c>
      <c r="H221">
        <v>22576.073899999999</v>
      </c>
      <c r="I221">
        <f ca="1">OFFSET(AP221,0,MATCH(Dashboard!$E$19,Lists!$AH$6:$AH$7,0)-1)</f>
        <v>24495.922900000001</v>
      </c>
      <c r="J221">
        <v>23562.584500000001</v>
      </c>
      <c r="K221">
        <f>INDEX(AF221:AH221,0,MATCH(Dashboard!$E$15,Lists!$AF$6:$AF$8,0))</f>
        <v>24292.1126</v>
      </c>
      <c r="M221" t="s">
        <v>59</v>
      </c>
      <c r="N221">
        <v>38.662818148007091</v>
      </c>
      <c r="O221">
        <v>39.876484805159144</v>
      </c>
      <c r="P221">
        <v>44.578526067893478</v>
      </c>
      <c r="Q221">
        <f ca="1">OFFSET(AR221,0,MATCH(Dashboard!$E$19,Lists!$AH$6:$AH$7,0)-1)</f>
        <v>86.328066626934117</v>
      </c>
      <c r="R221">
        <v>69.078984525726824</v>
      </c>
      <c r="S221">
        <f>INDEX(AF221:AN221,0,MATCH(Dashboard!$E$15,Lists!$AF$6:$AF$8,0)+3)</f>
        <v>96.177312933384954</v>
      </c>
      <c r="U221" t="s">
        <v>59</v>
      </c>
      <c r="V221">
        <v>3520.7781399999999</v>
      </c>
      <c r="W221">
        <v>3633.2137599999996</v>
      </c>
      <c r="X221">
        <v>3553.8474399999996</v>
      </c>
      <c r="Y221">
        <f ca="1">OFFSET(AT221,0,MATCH(Dashboard!$E$19,Lists!$AH$6:$AH$7,0)-1)</f>
        <v>3807.3787399999997</v>
      </c>
      <c r="Z221">
        <v>3461.2533999999996</v>
      </c>
      <c r="AA221">
        <f>INDEX(AF221:AN221,0,MATCH(Dashboard!$E$15,Lists!$AF$6:$AF$8,0)+6)</f>
        <v>3392.9101799999999</v>
      </c>
      <c r="AD221">
        <f t="shared" si="10"/>
        <v>0.74299999999999999</v>
      </c>
      <c r="AF221">
        <v>24292.1126</v>
      </c>
      <c r="AG221">
        <v>27815.539400000001</v>
      </c>
      <c r="AH221">
        <v>31198.8262</v>
      </c>
      <c r="AI221">
        <v>96.177312933384954</v>
      </c>
      <c r="AJ221">
        <v>90.777730332599702</v>
      </c>
      <c r="AK221">
        <v>88.032397197117518</v>
      </c>
      <c r="AL221">
        <v>3392.9101799999999</v>
      </c>
      <c r="AM221">
        <v>3642.0322399999995</v>
      </c>
      <c r="AN221">
        <v>3877.9265799999998</v>
      </c>
      <c r="AP221">
        <v>23016.666799999999</v>
      </c>
      <c r="AQ221">
        <v>24495.922900000001</v>
      </c>
      <c r="AR221">
        <v>80.374168831741855</v>
      </c>
      <c r="AS221">
        <v>86.328066626934117</v>
      </c>
      <c r="AT221">
        <v>3653.0553399999999</v>
      </c>
      <c r="AU221">
        <v>3807.3787399999997</v>
      </c>
    </row>
    <row r="222" spans="5:47" x14ac:dyDescent="0.45">
      <c r="E222" t="s">
        <v>60</v>
      </c>
      <c r="F222">
        <v>24775.617200000001</v>
      </c>
      <c r="G222">
        <v>26708.9555</v>
      </c>
      <c r="H222">
        <v>25257.092499999999</v>
      </c>
      <c r="I222">
        <f ca="1">OFFSET(AP222,0,MATCH(Dashboard!$E$19,Lists!$AH$6:$AH$7,0)-1)</f>
        <v>26870.099900000001</v>
      </c>
      <c r="J222">
        <v>27120.082299999998</v>
      </c>
      <c r="K222">
        <f>INDEX(AF222:AH222,0,MATCH(Dashboard!$E$15,Lists!$AF$6:$AF$8,0))</f>
        <v>26962.803899999999</v>
      </c>
      <c r="M222" t="s">
        <v>60</v>
      </c>
      <c r="N222">
        <v>32.373364462582643</v>
      </c>
      <c r="O222">
        <v>33.718530315258548</v>
      </c>
      <c r="P222">
        <v>39.458569478692525</v>
      </c>
      <c r="Q222">
        <f ca="1">OFFSET(AR222,0,MATCH(Dashboard!$E$19,Lists!$AH$6:$AH$7,0)-1)</f>
        <v>71.820904665528488</v>
      </c>
      <c r="R222">
        <v>55.945265420273046</v>
      </c>
      <c r="S222">
        <f>INDEX(AF222:AN222,0,MATCH(Dashboard!$E$15,Lists!$AF$6:$AF$8,0)+3)</f>
        <v>81.913175142710784</v>
      </c>
      <c r="U222" t="s">
        <v>60</v>
      </c>
      <c r="V222">
        <v>4023.4314999999997</v>
      </c>
      <c r="W222">
        <v>4144.6855999999998</v>
      </c>
      <c r="X222">
        <v>4005.7945399999994</v>
      </c>
      <c r="Y222">
        <f ca="1">OFFSET(AT222,0,MATCH(Dashboard!$E$19,Lists!$AH$6:$AH$7,0)-1)</f>
        <v>4276.9627999999993</v>
      </c>
      <c r="Z222">
        <v>3981.5437199999997</v>
      </c>
      <c r="AA222">
        <f>INDEX(AF222:AN222,0,MATCH(Dashboard!$E$15,Lists!$AF$6:$AF$8,0)+6)</f>
        <v>3807.3787399999997</v>
      </c>
      <c r="AD222">
        <f t="shared" si="10"/>
        <v>0.74299999999999999</v>
      </c>
      <c r="AF222">
        <v>26962.803899999999</v>
      </c>
      <c r="AG222">
        <v>30965.047299999998</v>
      </c>
      <c r="AH222">
        <v>34931.370499999997</v>
      </c>
      <c r="AI222">
        <v>81.913175142710784</v>
      </c>
      <c r="AJ222">
        <v>77.71835526384352</v>
      </c>
      <c r="AK222">
        <v>75.322370433715804</v>
      </c>
      <c r="AL222">
        <v>3807.3787399999997</v>
      </c>
      <c r="AM222">
        <v>4087.3654799999995</v>
      </c>
      <c r="AN222">
        <v>4365.1475999999993</v>
      </c>
      <c r="AP222">
        <v>25406.0658</v>
      </c>
      <c r="AQ222">
        <v>26870.099900000001</v>
      </c>
      <c r="AR222">
        <v>66.322120803835517</v>
      </c>
      <c r="AS222">
        <v>71.820904665528488</v>
      </c>
      <c r="AT222">
        <v>4105.0024399999993</v>
      </c>
      <c r="AU222">
        <v>4276.9627999999993</v>
      </c>
    </row>
    <row r="223" spans="5:47" x14ac:dyDescent="0.45">
      <c r="E223" t="s">
        <v>119</v>
      </c>
      <c r="F223">
        <v>15346.283600000001</v>
      </c>
      <c r="G223">
        <v>16604.431</v>
      </c>
      <c r="H223">
        <v>15374.9773</v>
      </c>
      <c r="I223">
        <f ca="1">OFFSET(AP223,0,MATCH(Dashboard!$E$19,Lists!$AH$6:$AH$7,0)-1)</f>
        <v>16967.5969</v>
      </c>
      <c r="J223">
        <v>16226.7474</v>
      </c>
      <c r="K223">
        <f>INDEX(AF223:AH223,0,MATCH(Dashboard!$E$15,Lists!$AF$6:$AF$8,0))</f>
        <v>16082.4984</v>
      </c>
      <c r="M223" t="s">
        <v>119</v>
      </c>
      <c r="N223">
        <v>42.864952496240917</v>
      </c>
      <c r="O223">
        <v>44.679571963563532</v>
      </c>
      <c r="P223">
        <v>52.411023281803132</v>
      </c>
      <c r="Q223">
        <f ca="1">OFFSET(AR223,0,MATCH(Dashboard!$E$19,Lists!$AH$6:$AH$7,0)-1)</f>
        <v>107.05138182119008</v>
      </c>
      <c r="R223">
        <v>85.143471706422247</v>
      </c>
      <c r="S223">
        <f>INDEX(AF223:AN223,0,MATCH(Dashboard!$E$15,Lists!$AF$6:$AF$8,0)+3)</f>
        <v>121.78143659391174</v>
      </c>
      <c r="U223" t="s">
        <v>119</v>
      </c>
      <c r="V223">
        <v>3106.3095799999996</v>
      </c>
      <c r="W223">
        <v>3220.9498199999998</v>
      </c>
      <c r="X223">
        <v>3086.4679999999998</v>
      </c>
      <c r="Y223">
        <f ca="1">OFFSET(AT223,0,MATCH(Dashboard!$E$19,Lists!$AH$6:$AH$7,0)-1)</f>
        <v>3293.7022799999995</v>
      </c>
      <c r="Z223">
        <v>3011.5109199999997</v>
      </c>
      <c r="AA223">
        <f>INDEX(AF223:AN223,0,MATCH(Dashboard!$E$15,Lists!$AF$6:$AF$8,0)+6)</f>
        <v>2914.5076399999998</v>
      </c>
      <c r="AD223">
        <f t="shared" si="10"/>
        <v>0.74299999999999999</v>
      </c>
      <c r="AF223">
        <v>16082.4984</v>
      </c>
      <c r="AG223">
        <v>18796.456699999999</v>
      </c>
      <c r="AH223">
        <v>21373.998</v>
      </c>
      <c r="AI223">
        <v>121.78143659391174</v>
      </c>
      <c r="AJ223">
        <v>114.82862354840114</v>
      </c>
      <c r="AK223">
        <v>111.40134637292627</v>
      </c>
      <c r="AL223">
        <v>2914.5076399999998</v>
      </c>
      <c r="AM223">
        <v>3104.1049599999997</v>
      </c>
      <c r="AN223">
        <v>3284.8837999999996</v>
      </c>
      <c r="AP223">
        <v>15663.0299</v>
      </c>
      <c r="AQ223">
        <v>16967.5969</v>
      </c>
      <c r="AR223">
        <v>101.33025228587962</v>
      </c>
      <c r="AS223">
        <v>107.05138182119008</v>
      </c>
      <c r="AT223">
        <v>3165.8343199999999</v>
      </c>
      <c r="AU223">
        <v>3293.7022799999995</v>
      </c>
    </row>
    <row r="224" spans="5:47" x14ac:dyDescent="0.45">
      <c r="E224" t="s">
        <v>120</v>
      </c>
      <c r="F224">
        <v>20414.151399999999</v>
      </c>
      <c r="G224">
        <v>22734.088299999999</v>
      </c>
      <c r="H224">
        <v>20513.148700000002</v>
      </c>
      <c r="I224">
        <f ca="1">OFFSET(AP224,0,MATCH(Dashboard!$E$19,Lists!$AH$6:$AH$7,0)-1)</f>
        <v>22118.0239</v>
      </c>
      <c r="J224">
        <v>22251.524300000001</v>
      </c>
      <c r="K224">
        <f>INDEX(AF224:AH224,0,MATCH(Dashboard!$E$15,Lists!$AF$6:$AF$8,0))</f>
        <v>20935.364699999998</v>
      </c>
      <c r="M224" t="s">
        <v>120</v>
      </c>
      <c r="N224">
        <v>39.669946450776145</v>
      </c>
      <c r="O224">
        <v>39.741520259376706</v>
      </c>
      <c r="P224">
        <v>47.826399905393245</v>
      </c>
      <c r="Q224">
        <f ca="1">OFFSET(AR224,0,MATCH(Dashboard!$E$19,Lists!$AH$6:$AH$7,0)-1)</f>
        <v>102.54381091335037</v>
      </c>
      <c r="R224">
        <v>78.668162951209283</v>
      </c>
      <c r="S224">
        <f>INDEX(AF224:AN224,0,MATCH(Dashboard!$E$15,Lists!$AF$6:$AF$8,0)+3)</f>
        <v>119.62947578753705</v>
      </c>
      <c r="U224" t="s">
        <v>120</v>
      </c>
      <c r="V224">
        <v>3300.3161399999999</v>
      </c>
      <c r="W224">
        <v>3434.7979599999999</v>
      </c>
      <c r="X224">
        <v>3251.8144999999995</v>
      </c>
      <c r="Y224">
        <f ca="1">OFFSET(AT224,0,MATCH(Dashboard!$E$19,Lists!$AH$6:$AH$7,0)-1)</f>
        <v>3465.6626399999996</v>
      </c>
      <c r="Z224">
        <v>3201.1082399999996</v>
      </c>
      <c r="AA224">
        <f>INDEX(AF224:AN224,0,MATCH(Dashboard!$E$15,Lists!$AF$6:$AF$8,0)+6)</f>
        <v>3009.3062999999997</v>
      </c>
      <c r="AD224">
        <f t="shared" si="10"/>
        <v>0.74299999999999999</v>
      </c>
      <c r="AF224">
        <v>20935.364699999998</v>
      </c>
      <c r="AG224">
        <v>23685.351999999999</v>
      </c>
      <c r="AH224">
        <v>26300.5694</v>
      </c>
      <c r="AI224">
        <v>119.62947578753705</v>
      </c>
      <c r="AJ224">
        <v>112.62637001823529</v>
      </c>
      <c r="AK224">
        <v>109.28812942779226</v>
      </c>
      <c r="AL224">
        <v>3009.3062999999997</v>
      </c>
      <c r="AM224">
        <v>3201.1082399999996</v>
      </c>
      <c r="AN224">
        <v>3381.8870799999995</v>
      </c>
      <c r="AP224">
        <v>21070.536100000001</v>
      </c>
      <c r="AQ224">
        <v>22118.0239</v>
      </c>
      <c r="AR224">
        <v>96.44289267135278</v>
      </c>
      <c r="AS224">
        <v>102.54381091335037</v>
      </c>
      <c r="AT224">
        <v>3333.3854399999996</v>
      </c>
      <c r="AU224">
        <v>3465.6626399999996</v>
      </c>
    </row>
    <row r="225" spans="5:47" x14ac:dyDescent="0.45">
      <c r="E225" t="s">
        <v>121</v>
      </c>
      <c r="F225">
        <v>21315.170399999999</v>
      </c>
      <c r="G225">
        <v>22582.1044</v>
      </c>
      <c r="H225">
        <v>21555.0285</v>
      </c>
      <c r="I225">
        <f ca="1">OFFSET(AP225,0,MATCH(Dashboard!$E$19,Lists!$AH$6:$AH$7,0)-1)</f>
        <v>23338.388599999998</v>
      </c>
      <c r="J225">
        <v>23291.7781</v>
      </c>
      <c r="K225">
        <f>INDEX(AF225:AH225,0,MATCH(Dashboard!$E$15,Lists!$AF$6:$AF$8,0))</f>
        <v>22772.280299999999</v>
      </c>
      <c r="M225" t="s">
        <v>121</v>
      </c>
      <c r="N225">
        <v>37.618109205960181</v>
      </c>
      <c r="O225">
        <v>38.982560534161635</v>
      </c>
      <c r="P225">
        <v>43.20890577271819</v>
      </c>
      <c r="Q225">
        <f ca="1">OFFSET(AR225,0,MATCH(Dashboard!$E$19,Lists!$AH$6:$AH$7,0)-1)</f>
        <v>87.939131572650425</v>
      </c>
      <c r="R225">
        <v>68.511805124501876</v>
      </c>
      <c r="S225">
        <f>INDEX(AF225:AN225,0,MATCH(Dashboard!$E$15,Lists!$AF$6:$AF$8,0)+3)</f>
        <v>100.42924169720315</v>
      </c>
      <c r="U225" t="s">
        <v>121</v>
      </c>
      <c r="V225">
        <v>3642.0322399999995</v>
      </c>
      <c r="W225">
        <v>3758.8770999999997</v>
      </c>
      <c r="X225">
        <v>3633.2137599999996</v>
      </c>
      <c r="Y225">
        <f ca="1">OFFSET(AT225,0,MATCH(Dashboard!$E$19,Lists!$AH$6:$AH$7,0)-1)</f>
        <v>3873.5173399999999</v>
      </c>
      <c r="Z225">
        <v>3567.0751599999999</v>
      </c>
      <c r="AA225">
        <f>INDEX(AF225:AN225,0,MATCH(Dashboard!$E$15,Lists!$AF$6:$AF$8,0)+6)</f>
        <v>3406.1378999999997</v>
      </c>
      <c r="AD225">
        <f t="shared" si="10"/>
        <v>0.74299999999999999</v>
      </c>
      <c r="AF225">
        <v>22772.280299999999</v>
      </c>
      <c r="AG225">
        <v>26073.3099</v>
      </c>
      <c r="AH225">
        <v>29169.731100000001</v>
      </c>
      <c r="AI225">
        <v>100.42924169720315</v>
      </c>
      <c r="AJ225">
        <v>94.785025324374999</v>
      </c>
      <c r="AK225">
        <v>91.945485874428428</v>
      </c>
      <c r="AL225">
        <v>3406.1378999999997</v>
      </c>
      <c r="AM225">
        <v>3637.6229999999996</v>
      </c>
      <c r="AN225">
        <v>3853.6757599999996</v>
      </c>
      <c r="AP225">
        <v>22095.545600000001</v>
      </c>
      <c r="AQ225">
        <v>23338.388599999998</v>
      </c>
      <c r="AR225">
        <v>80.683492049691566</v>
      </c>
      <c r="AS225">
        <v>87.939131572650425</v>
      </c>
      <c r="AT225">
        <v>3728.0124199999996</v>
      </c>
      <c r="AU225">
        <v>3873.5173399999999</v>
      </c>
    </row>
    <row r="226" spans="5:47" x14ac:dyDescent="0.45">
      <c r="E226" t="s">
        <v>122</v>
      </c>
      <c r="F226">
        <v>23042.135200000001</v>
      </c>
      <c r="G226">
        <v>25284.7755</v>
      </c>
      <c r="H226">
        <v>23570.090400000001</v>
      </c>
      <c r="I226">
        <f ca="1">OFFSET(AP226,0,MATCH(Dashboard!$E$19,Lists!$AH$6:$AH$7,0)-1)</f>
        <v>25275.904299999998</v>
      </c>
      <c r="J226">
        <v>25571.536499999998</v>
      </c>
      <c r="K226">
        <f>INDEX(AF226:AH226,0,MATCH(Dashboard!$E$15,Lists!$AF$6:$AF$8,0))</f>
        <v>25040.3557</v>
      </c>
      <c r="M226" t="s">
        <v>122</v>
      </c>
      <c r="N226">
        <v>34.173985087633184</v>
      </c>
      <c r="O226">
        <v>35.666003730472916</v>
      </c>
      <c r="P226">
        <v>43.344604301489078</v>
      </c>
      <c r="Q226">
        <f ca="1">OFFSET(AR226,0,MATCH(Dashboard!$E$19,Lists!$AH$6:$AH$7,0)-1)</f>
        <v>79.007765406604548</v>
      </c>
      <c r="R226">
        <v>61.129907565250065</v>
      </c>
      <c r="S226">
        <f>INDEX(AF226:AN226,0,MATCH(Dashboard!$E$15,Lists!$AF$6:$AF$8,0)+3)</f>
        <v>90.074515367717041</v>
      </c>
      <c r="U226" t="s">
        <v>122</v>
      </c>
      <c r="V226">
        <v>4034.4545999999996</v>
      </c>
      <c r="W226">
        <v>4164.52718</v>
      </c>
      <c r="X226">
        <v>4043.2730799999995</v>
      </c>
      <c r="Y226">
        <f ca="1">OFFSET(AT226,0,MATCH(Dashboard!$E$19,Lists!$AH$6:$AH$7,0)-1)</f>
        <v>4307.8274799999999</v>
      </c>
      <c r="Z226">
        <v>4010.2037799999998</v>
      </c>
      <c r="AA226">
        <f>INDEX(AF226:AN226,0,MATCH(Dashboard!$E$15,Lists!$AF$6:$AF$8,0)+6)</f>
        <v>3827.2203199999994</v>
      </c>
      <c r="AD226">
        <f t="shared" si="10"/>
        <v>0.74299999999999999</v>
      </c>
      <c r="AF226">
        <v>25040.3557</v>
      </c>
      <c r="AG226">
        <v>28737.753000000001</v>
      </c>
      <c r="AH226">
        <v>32167.046900000001</v>
      </c>
      <c r="AI226">
        <v>90.074515367717041</v>
      </c>
      <c r="AJ226">
        <v>84.963286993650925</v>
      </c>
      <c r="AK226">
        <v>82.419163947604659</v>
      </c>
      <c r="AL226">
        <v>3827.2203199999994</v>
      </c>
      <c r="AM226">
        <v>4087.3654799999995</v>
      </c>
      <c r="AN226">
        <v>4327.6690599999993</v>
      </c>
      <c r="AP226">
        <v>23986.385699999999</v>
      </c>
      <c r="AQ226">
        <v>25275.904299999998</v>
      </c>
      <c r="AR226">
        <v>72.096783856607502</v>
      </c>
      <c r="AS226">
        <v>79.007765406604548</v>
      </c>
      <c r="AT226">
        <v>4149.0948399999997</v>
      </c>
      <c r="AU226">
        <v>4307.8274799999999</v>
      </c>
    </row>
    <row r="227" spans="5:47" x14ac:dyDescent="0.45">
      <c r="E227" t="s">
        <v>123</v>
      </c>
      <c r="F227">
        <v>24954.4362</v>
      </c>
      <c r="G227">
        <v>26943.403300000002</v>
      </c>
      <c r="H227">
        <v>25787.449700000001</v>
      </c>
      <c r="I227">
        <f ca="1">OFFSET(AP227,0,MATCH(Dashboard!$E$19,Lists!$AH$6:$AH$7,0)-1)</f>
        <v>27412.1414</v>
      </c>
      <c r="J227">
        <v>27944.3295</v>
      </c>
      <c r="K227">
        <f>INDEX(AF227:AH227,0,MATCH(Dashboard!$E$15,Lists!$AF$6:$AF$8,0))</f>
        <v>27439.206900000001</v>
      </c>
      <c r="M227" t="s">
        <v>123</v>
      </c>
      <c r="N227">
        <v>30.399516257711984</v>
      </c>
      <c r="O227">
        <v>31.392709332503877</v>
      </c>
      <c r="P227">
        <v>37.637767637565794</v>
      </c>
      <c r="Q227">
        <f ca="1">OFFSET(AR227,0,MATCH(Dashboard!$E$19,Lists!$AH$6:$AH$7,0)-1)</f>
        <v>67.328740857229121</v>
      </c>
      <c r="R227">
        <v>51.881259269690212</v>
      </c>
      <c r="S227">
        <f>INDEX(AF227:AN227,0,MATCH(Dashboard!$E$15,Lists!$AF$6:$AF$8,0)+3)</f>
        <v>76.860994712547694</v>
      </c>
      <c r="U227" t="s">
        <v>123</v>
      </c>
      <c r="V227">
        <v>4590.0188399999997</v>
      </c>
      <c r="W227">
        <v>4739.933</v>
      </c>
      <c r="X227">
        <v>4532.6987199999994</v>
      </c>
      <c r="Y227">
        <f ca="1">OFFSET(AT227,0,MATCH(Dashboard!$E$19,Lists!$AH$6:$AH$7,0)-1)</f>
        <v>4812.6854599999997</v>
      </c>
      <c r="Z227">
        <v>4556.9495399999996</v>
      </c>
      <c r="AA227">
        <f>INDEX(AF227:AN227,0,MATCH(Dashboard!$E$15,Lists!$AF$6:$AF$8,0)+6)</f>
        <v>4340.89678</v>
      </c>
      <c r="AD227">
        <f t="shared" si="10"/>
        <v>0.74299999999999999</v>
      </c>
      <c r="AF227">
        <v>27439.206900000001</v>
      </c>
      <c r="AG227">
        <v>31893.1417</v>
      </c>
      <c r="AH227">
        <v>36156.138899999998</v>
      </c>
      <c r="AI227">
        <v>76.860994712547694</v>
      </c>
      <c r="AJ227">
        <v>72.428107241192592</v>
      </c>
      <c r="AK227">
        <v>70.189282027780507</v>
      </c>
      <c r="AL227">
        <v>4340.89678</v>
      </c>
      <c r="AM227">
        <v>4653.9528199999995</v>
      </c>
      <c r="AN227">
        <v>4951.5765199999996</v>
      </c>
      <c r="AP227">
        <v>25754.2752</v>
      </c>
      <c r="AQ227">
        <v>27412.1414</v>
      </c>
      <c r="AR227">
        <v>61.943480417783334</v>
      </c>
      <c r="AS227">
        <v>67.328740857229121</v>
      </c>
      <c r="AT227">
        <v>4627.4973799999998</v>
      </c>
      <c r="AU227">
        <v>4812.6854599999997</v>
      </c>
    </row>
    <row r="228" spans="5:47" x14ac:dyDescent="0.45">
      <c r="E228" t="s">
        <v>115</v>
      </c>
      <c r="G228">
        <v>158380.23260190123</v>
      </c>
      <c r="H228">
        <v>165024.6637914475</v>
      </c>
      <c r="I228">
        <v>194247.85483688267</v>
      </c>
      <c r="J228">
        <v>164851.61339568894</v>
      </c>
      <c r="K228">
        <v>231122.72560110327</v>
      </c>
      <c r="M228" t="s">
        <v>115</v>
      </c>
      <c r="O228">
        <v>9.909196865855904</v>
      </c>
      <c r="P228">
        <v>10.038152007551519</v>
      </c>
      <c r="Q228">
        <v>11.065051368167298</v>
      </c>
      <c r="R228">
        <v>10.056259858661701</v>
      </c>
      <c r="S228">
        <v>17.176904077987572</v>
      </c>
      <c r="U228" t="s">
        <v>115</v>
      </c>
      <c r="W228">
        <v>66137.306068411912</v>
      </c>
      <c r="X228">
        <v>65634.807025991351</v>
      </c>
      <c r="Y228">
        <v>68556.676637335564</v>
      </c>
      <c r="Z228">
        <v>65199.951397687037</v>
      </c>
      <c r="AA228">
        <v>68774.027350567136</v>
      </c>
      <c r="AC228">
        <v>38940.496935846</v>
      </c>
      <c r="AD228">
        <v>0.34779052568271041</v>
      </c>
    </row>
    <row r="229" spans="5:47" x14ac:dyDescent="0.45">
      <c r="E229" t="s">
        <v>116</v>
      </c>
      <c r="G229">
        <v>137459.70730384838</v>
      </c>
      <c r="H229">
        <v>140036.29521301051</v>
      </c>
      <c r="I229">
        <v>148044.70317533865</v>
      </c>
      <c r="J229">
        <v>139327.15860513382</v>
      </c>
      <c r="K229">
        <v>157269.24061211123</v>
      </c>
      <c r="M229" t="s">
        <v>116</v>
      </c>
      <c r="O229">
        <v>9.2941770377187023</v>
      </c>
      <c r="P229">
        <v>9.6165732094870044</v>
      </c>
      <c r="Q229">
        <v>11.071061821562628</v>
      </c>
      <c r="R229">
        <v>9.8197279111751534</v>
      </c>
      <c r="S229">
        <v>17.747207166241953</v>
      </c>
      <c r="U229" t="s">
        <v>116</v>
      </c>
      <c r="W229">
        <v>63848.806088638099</v>
      </c>
      <c r="X229">
        <v>63150.171326043936</v>
      </c>
      <c r="Y229">
        <v>64619.137687832568</v>
      </c>
      <c r="Z229">
        <v>62083.139613910891</v>
      </c>
      <c r="AA229">
        <v>63267.438506337399</v>
      </c>
      <c r="AC229">
        <v>38862.306560154</v>
      </c>
      <c r="AD229">
        <v>0.38395849611703969</v>
      </c>
    </row>
    <row r="230" spans="5:47" x14ac:dyDescent="0.45">
      <c r="E230" t="s">
        <v>117</v>
      </c>
      <c r="G230">
        <v>108934.92451123365</v>
      </c>
      <c r="H230">
        <v>111397.60392675659</v>
      </c>
      <c r="I230">
        <v>123205.06955982806</v>
      </c>
      <c r="J230">
        <v>106268.3883734938</v>
      </c>
      <c r="K230">
        <v>128227.40419011493</v>
      </c>
      <c r="M230" t="s">
        <v>117</v>
      </c>
      <c r="O230">
        <v>9.7482676290836672</v>
      </c>
      <c r="P230">
        <v>11.098930946252418</v>
      </c>
      <c r="Q230">
        <v>17.04645360567579</v>
      </c>
      <c r="R230">
        <v>13.65247046749943</v>
      </c>
      <c r="S230">
        <v>23.90983130294169</v>
      </c>
      <c r="U230" t="s">
        <v>117</v>
      </c>
      <c r="W230">
        <v>40627.393465370471</v>
      </c>
      <c r="X230">
        <v>39702.988710278405</v>
      </c>
      <c r="Y230">
        <v>42128.723565182496</v>
      </c>
      <c r="Z230">
        <v>39472.609931403495</v>
      </c>
      <c r="AA230">
        <v>40847.050507232256</v>
      </c>
      <c r="AC230">
        <v>15891.194835845999</v>
      </c>
      <c r="AD230">
        <v>0.61861029484349728</v>
      </c>
    </row>
    <row r="231" spans="5:47" x14ac:dyDescent="0.45">
      <c r="E231" t="s">
        <v>124</v>
      </c>
      <c r="G231">
        <v>80525.329602361206</v>
      </c>
      <c r="H231">
        <v>84138.605133463017</v>
      </c>
      <c r="I231">
        <v>90498.241053259015</v>
      </c>
      <c r="J231">
        <v>77307.954417746863</v>
      </c>
      <c r="K231">
        <v>84781.026537873899</v>
      </c>
      <c r="M231" t="s">
        <v>124</v>
      </c>
      <c r="O231">
        <v>14.511786888884734</v>
      </c>
      <c r="P231">
        <v>17.714252200215348</v>
      </c>
      <c r="Q231">
        <v>26.890447088273678</v>
      </c>
      <c r="R231">
        <v>21.824138235053159</v>
      </c>
      <c r="S231">
        <v>38.024796608649325</v>
      </c>
      <c r="U231" t="s">
        <v>124</v>
      </c>
      <c r="W231">
        <v>22946.448372265048</v>
      </c>
      <c r="X231">
        <v>22134.568995999613</v>
      </c>
      <c r="Y231">
        <v>24017.156314055173</v>
      </c>
      <c r="Z231">
        <v>21646.725384644815</v>
      </c>
      <c r="AA231">
        <v>22205.676281254051</v>
      </c>
      <c r="AC231">
        <v>11743.494417995998</v>
      </c>
      <c r="AD231">
        <v>0.68249788709212889</v>
      </c>
    </row>
    <row r="232" spans="5:47" x14ac:dyDescent="0.45">
      <c r="E232" t="s">
        <v>125</v>
      </c>
      <c r="G232">
        <v>66082.015815126055</v>
      </c>
      <c r="H232">
        <v>63399.239626481423</v>
      </c>
      <c r="I232">
        <v>64124.514893542902</v>
      </c>
      <c r="J232">
        <v>56634.428934764386</v>
      </c>
      <c r="K232">
        <v>59029.535977786327</v>
      </c>
      <c r="M232" t="s">
        <v>125</v>
      </c>
      <c r="O232">
        <v>17.150448321671792</v>
      </c>
      <c r="P232">
        <v>25.425018288836132</v>
      </c>
      <c r="Q232">
        <v>31.492797063170141</v>
      </c>
      <c r="R232">
        <v>34.901564226153205</v>
      </c>
      <c r="S232">
        <v>61.270325535255694</v>
      </c>
      <c r="U232" t="s">
        <v>125</v>
      </c>
      <c r="W232">
        <v>15466.966879066335</v>
      </c>
      <c r="X232">
        <v>12910.708562939439</v>
      </c>
      <c r="Y232">
        <v>13987.549070293275</v>
      </c>
      <c r="Z232">
        <v>12228.412814591993</v>
      </c>
      <c r="AA232">
        <v>12564.777402734449</v>
      </c>
      <c r="AC232">
        <v>6300.9289619539995</v>
      </c>
      <c r="AD232">
        <v>0.60746063085392654</v>
      </c>
    </row>
    <row r="233" spans="5:47" x14ac:dyDescent="0.45">
      <c r="E233" t="s">
        <v>118</v>
      </c>
      <c r="M233" t="s">
        <v>118</v>
      </c>
      <c r="U233" t="s">
        <v>118</v>
      </c>
      <c r="AD233">
        <v>0</v>
      </c>
    </row>
    <row r="234" spans="5:47" x14ac:dyDescent="0.45">
      <c r="E234" t="s">
        <v>138</v>
      </c>
      <c r="M234" t="s">
        <v>138</v>
      </c>
      <c r="U234" t="s">
        <v>138</v>
      </c>
      <c r="AD234">
        <v>0</v>
      </c>
    </row>
    <row r="237" spans="5:47" x14ac:dyDescent="0.45">
      <c r="E237" t="s">
        <v>137</v>
      </c>
      <c r="F237" t="s">
        <v>42</v>
      </c>
      <c r="G237" t="s">
        <v>43</v>
      </c>
      <c r="H237" t="s">
        <v>427</v>
      </c>
      <c r="I237" t="s">
        <v>44</v>
      </c>
      <c r="J237" t="s">
        <v>45</v>
      </c>
      <c r="K237" t="s">
        <v>46</v>
      </c>
      <c r="M237" t="s">
        <v>137</v>
      </c>
      <c r="N237" t="s">
        <v>42</v>
      </c>
      <c r="O237" t="s">
        <v>43</v>
      </c>
      <c r="P237" t="s">
        <v>427</v>
      </c>
      <c r="Q237" t="s">
        <v>44</v>
      </c>
      <c r="R237" t="s">
        <v>45</v>
      </c>
      <c r="S237" t="s">
        <v>46</v>
      </c>
      <c r="U237" t="s">
        <v>137</v>
      </c>
      <c r="V237" t="s">
        <v>42</v>
      </c>
      <c r="W237" t="s">
        <v>43</v>
      </c>
      <c r="X237" t="s">
        <v>427</v>
      </c>
      <c r="Y237" t="s">
        <v>44</v>
      </c>
      <c r="Z237" t="s">
        <v>45</v>
      </c>
      <c r="AA237" t="s">
        <v>46</v>
      </c>
      <c r="AC237" t="s">
        <v>464</v>
      </c>
      <c r="AD237" t="s">
        <v>234</v>
      </c>
      <c r="AF237" t="s">
        <v>164</v>
      </c>
      <c r="AG237" t="s">
        <v>165</v>
      </c>
      <c r="AH237" t="s">
        <v>166</v>
      </c>
      <c r="AI237" t="s">
        <v>167</v>
      </c>
      <c r="AJ237" t="s">
        <v>168</v>
      </c>
      <c r="AK237" t="s">
        <v>169</v>
      </c>
      <c r="AL237" t="s">
        <v>418</v>
      </c>
      <c r="AM237" t="s">
        <v>419</v>
      </c>
      <c r="AN237" t="s">
        <v>420</v>
      </c>
      <c r="AP237" t="s">
        <v>173</v>
      </c>
      <c r="AQ237" t="s">
        <v>174</v>
      </c>
      <c r="AR237" t="s">
        <v>176</v>
      </c>
      <c r="AS237" t="s">
        <v>175</v>
      </c>
      <c r="AT237" t="s">
        <v>416</v>
      </c>
      <c r="AU237" t="s">
        <v>417</v>
      </c>
    </row>
    <row r="238" spans="5:47" x14ac:dyDescent="0.45">
      <c r="E238" t="s">
        <v>57</v>
      </c>
      <c r="F238">
        <v>14079.3549</v>
      </c>
      <c r="G238">
        <v>15109.986199999999</v>
      </c>
      <c r="H238">
        <v>13959.3377</v>
      </c>
      <c r="I238">
        <f ca="1">OFFSET(AP238,0,MATCH(Dashboard!$E$19,Lists!$AH$6:$AH$7,0)-1)</f>
        <v>15494.6782</v>
      </c>
      <c r="J238">
        <v>14200.400100000001</v>
      </c>
      <c r="K238">
        <f>INDEX(AF238:AH238,0,MATCH(Dashboard!$E$15,Lists!$AF$6:$AF$8,0))</f>
        <v>14067.9836</v>
      </c>
      <c r="M238" t="s">
        <v>57</v>
      </c>
      <c r="N238">
        <v>51.712802622037557</v>
      </c>
      <c r="O238">
        <v>53.280802291945335</v>
      </c>
      <c r="P238">
        <v>63.527921052135433</v>
      </c>
      <c r="Q238">
        <f ca="1">OFFSET(AR238,0,MATCH(Dashboard!$E$19,Lists!$AH$6:$AH$7,0)-1)</f>
        <v>127.8800335471135</v>
      </c>
      <c r="R238">
        <v>102.7127021888693</v>
      </c>
      <c r="S238">
        <f>INDEX(AF238:AN238,0,MATCH(Dashboard!$E$15,Lists!$AF$6:$AF$8,0)+3)</f>
        <v>142.49231677924928</v>
      </c>
      <c r="U238" t="s">
        <v>57</v>
      </c>
      <c r="V238">
        <v>2879.2337199999997</v>
      </c>
      <c r="W238">
        <v>2989.4647199999999</v>
      </c>
      <c r="X238">
        <v>2885.8475799999997</v>
      </c>
      <c r="Y238">
        <f ca="1">OFFSET(AT238,0,MATCH(Dashboard!$E$19,Lists!$AH$6:$AH$7,0)-1)</f>
        <v>3035.7617399999999</v>
      </c>
      <c r="Z238">
        <v>2762.3888599999996</v>
      </c>
      <c r="AA238">
        <f>INDEX(AF238:AN238,0,MATCH(Dashboard!$E$15,Lists!$AF$6:$AF$8,0)+6)</f>
        <v>2718.2964599999996</v>
      </c>
      <c r="AD238">
        <f t="shared" ref="AD238:AD247" si="11">$AG$14</f>
        <v>0.74299999999999999</v>
      </c>
      <c r="AF238">
        <v>14067.9836</v>
      </c>
      <c r="AG238">
        <v>15971.605100000001</v>
      </c>
      <c r="AH238">
        <v>17739.406800000001</v>
      </c>
      <c r="AI238">
        <v>142.49231677924928</v>
      </c>
      <c r="AJ238">
        <v>133.78629525097983</v>
      </c>
      <c r="AK238">
        <v>130.2313214871586</v>
      </c>
      <c r="AL238">
        <v>2718.2964599999996</v>
      </c>
      <c r="AM238">
        <v>2883.6429599999997</v>
      </c>
      <c r="AN238">
        <v>3033.5571199999999</v>
      </c>
      <c r="AP238">
        <v>14338.679099999999</v>
      </c>
      <c r="AQ238">
        <v>15494.6782</v>
      </c>
      <c r="AR238">
        <v>119.91611435986894</v>
      </c>
      <c r="AS238">
        <v>127.8800335471135</v>
      </c>
      <c r="AT238">
        <v>2940.9630799999995</v>
      </c>
      <c r="AU238">
        <v>3035.7617399999999</v>
      </c>
    </row>
    <row r="239" spans="5:47" x14ac:dyDescent="0.45">
      <c r="E239" t="s">
        <v>58</v>
      </c>
      <c r="F239">
        <v>18675.262500000001</v>
      </c>
      <c r="G239">
        <v>19740.574400000001</v>
      </c>
      <c r="H239">
        <v>18582.717400000001</v>
      </c>
      <c r="I239">
        <f ca="1">OFFSET(AP239,0,MATCH(Dashboard!$E$19,Lists!$AH$6:$AH$7,0)-1)</f>
        <v>20110.652600000001</v>
      </c>
      <c r="J239">
        <v>18960.059499999999</v>
      </c>
      <c r="K239">
        <f>INDEX(AF239:AH239,0,MATCH(Dashboard!$E$15,Lists!$AF$6:$AF$8,0))</f>
        <v>18637.705399999999</v>
      </c>
      <c r="M239" t="s">
        <v>58</v>
      </c>
      <c r="N239">
        <v>48.284069258595153</v>
      </c>
      <c r="O239">
        <v>50.9480061626439</v>
      </c>
      <c r="P239">
        <v>61.413202910144548</v>
      </c>
      <c r="Q239">
        <f ca="1">OFFSET(AR239,0,MATCH(Dashboard!$E$19,Lists!$AH$6:$AH$7,0)-1)</f>
        <v>125.64746574240711</v>
      </c>
      <c r="R239">
        <v>100.16852210732321</v>
      </c>
      <c r="S239">
        <f>INDEX(AF239:AN239,0,MATCH(Dashboard!$E$15,Lists!$AF$6:$AF$8,0)+3)</f>
        <v>141.23126724676294</v>
      </c>
      <c r="U239" t="s">
        <v>58</v>
      </c>
      <c r="V239">
        <v>3026.9432599999996</v>
      </c>
      <c r="W239">
        <v>3130.5603999999998</v>
      </c>
      <c r="X239">
        <v>2982.8508599999996</v>
      </c>
      <c r="Y239">
        <f ca="1">OFFSET(AT239,0,MATCH(Dashboard!$E$19,Lists!$AH$6:$AH$7,0)-1)</f>
        <v>3132.7650199999998</v>
      </c>
      <c r="Z239">
        <v>2852.7782799999995</v>
      </c>
      <c r="AA239">
        <f>INDEX(AF239:AN239,0,MATCH(Dashboard!$E$15,Lists!$AF$6:$AF$8,0)+6)</f>
        <v>2793.2535399999997</v>
      </c>
      <c r="AD239">
        <f t="shared" si="11"/>
        <v>0.74299999999999999</v>
      </c>
      <c r="AF239">
        <v>18637.705399999999</v>
      </c>
      <c r="AG239">
        <v>20557.341400000001</v>
      </c>
      <c r="AH239">
        <v>22348.168600000001</v>
      </c>
      <c r="AI239">
        <v>141.23126724676294</v>
      </c>
      <c r="AJ239">
        <v>132.5684978825559</v>
      </c>
      <c r="AK239">
        <v>128.96170152840457</v>
      </c>
      <c r="AL239">
        <v>2793.2535399999997</v>
      </c>
      <c r="AM239">
        <v>2956.3954199999998</v>
      </c>
      <c r="AN239">
        <v>3110.7188199999996</v>
      </c>
      <c r="AP239">
        <v>18944.4247</v>
      </c>
      <c r="AQ239">
        <v>20110.652600000001</v>
      </c>
      <c r="AR239">
        <v>117.7837752132978</v>
      </c>
      <c r="AS239">
        <v>125.64746574240711</v>
      </c>
      <c r="AT239">
        <v>3037.9663599999999</v>
      </c>
      <c r="AU239">
        <v>3132.7650199999998</v>
      </c>
    </row>
    <row r="240" spans="5:47" x14ac:dyDescent="0.45">
      <c r="E240" t="s">
        <v>56</v>
      </c>
      <c r="F240">
        <v>20370.874800000001</v>
      </c>
      <c r="G240">
        <v>21437.737499999999</v>
      </c>
      <c r="H240">
        <v>20391.603299999999</v>
      </c>
      <c r="I240">
        <f ca="1">OFFSET(AP240,0,MATCH(Dashboard!$E$19,Lists!$AH$6:$AH$7,0)-1)</f>
        <v>22005.184099999999</v>
      </c>
      <c r="J240">
        <v>20905.962899999999</v>
      </c>
      <c r="K240">
        <f>INDEX(AF240:AH240,0,MATCH(Dashboard!$E$15,Lists!$AF$6:$AF$8,0))</f>
        <v>20843.426899999999</v>
      </c>
      <c r="M240" t="s">
        <v>56</v>
      </c>
      <c r="N240">
        <v>45.683156437731803</v>
      </c>
      <c r="O240">
        <v>47.69425973581874</v>
      </c>
      <c r="P240">
        <v>54.149070863877618</v>
      </c>
      <c r="Q240">
        <f ca="1">OFFSET(AR240,0,MATCH(Dashboard!$E$19,Lists!$AH$6:$AH$7,0)-1)</f>
        <v>107.50038967876895</v>
      </c>
      <c r="R240">
        <v>85.017339091682089</v>
      </c>
      <c r="S240">
        <f>INDEX(AF240:AN240,0,MATCH(Dashboard!$E$15,Lists!$AF$6:$AF$8,0)+3)</f>
        <v>119.19674017468895</v>
      </c>
      <c r="U240" t="s">
        <v>56</v>
      </c>
      <c r="V240">
        <v>3201.1082399999996</v>
      </c>
      <c r="W240">
        <v>3306.93</v>
      </c>
      <c r="X240">
        <v>3187.8805199999997</v>
      </c>
      <c r="Y240">
        <f ca="1">OFFSET(AT240,0,MATCH(Dashboard!$E$19,Lists!$AH$6:$AH$7,0)-1)</f>
        <v>3353.2270199999998</v>
      </c>
      <c r="Z240">
        <v>3055.6033199999997</v>
      </c>
      <c r="AA240">
        <f>INDEX(AF240:AN240,0,MATCH(Dashboard!$E$15,Lists!$AF$6:$AF$8,0)+6)</f>
        <v>2998.2831999999999</v>
      </c>
      <c r="AD240">
        <f t="shared" si="11"/>
        <v>0.74299999999999999</v>
      </c>
      <c r="AF240">
        <v>20843.426899999999</v>
      </c>
      <c r="AG240">
        <v>23117.356299999999</v>
      </c>
      <c r="AH240">
        <v>25198.744999999999</v>
      </c>
      <c r="AI240">
        <v>119.19674017468895</v>
      </c>
      <c r="AJ240">
        <v>112.52805809206571</v>
      </c>
      <c r="AK240">
        <v>109.47506230171383</v>
      </c>
      <c r="AL240">
        <v>2998.2831999999999</v>
      </c>
      <c r="AM240">
        <v>3192.2897599999997</v>
      </c>
      <c r="AN240">
        <v>3373.0685999999996</v>
      </c>
      <c r="AP240">
        <v>20712.593000000001</v>
      </c>
      <c r="AQ240">
        <v>22005.184099999999</v>
      </c>
      <c r="AR240">
        <v>99.359189271200393</v>
      </c>
      <c r="AS240">
        <v>107.50038967876895</v>
      </c>
      <c r="AT240">
        <v>3251.8144999999995</v>
      </c>
      <c r="AU240">
        <v>3353.2270199999998</v>
      </c>
    </row>
    <row r="241" spans="5:47" x14ac:dyDescent="0.45">
      <c r="E241" t="s">
        <v>59</v>
      </c>
      <c r="F241">
        <v>21827.819</v>
      </c>
      <c r="G241">
        <v>22917.148000000001</v>
      </c>
      <c r="H241">
        <v>21843.5465</v>
      </c>
      <c r="I241">
        <f ca="1">OFFSET(AP241,0,MATCH(Dashboard!$E$19,Lists!$AH$6:$AH$7,0)-1)</f>
        <v>23483.1535</v>
      </c>
      <c r="J241">
        <v>22449.335599999999</v>
      </c>
      <c r="K241">
        <f>INDEX(AF241:AH241,0,MATCH(Dashboard!$E$15,Lists!$AF$6:$AF$8,0))</f>
        <v>22622.306</v>
      </c>
      <c r="M241" t="s">
        <v>59</v>
      </c>
      <c r="N241">
        <v>44.179704314746317</v>
      </c>
      <c r="O241">
        <v>46.010767295675784</v>
      </c>
      <c r="P241">
        <v>51.30061624898353</v>
      </c>
      <c r="Q241">
        <f ca="1">OFFSET(AR241,0,MATCH(Dashboard!$E$19,Lists!$AH$6:$AH$7,0)-1)</f>
        <v>99.011622644282397</v>
      </c>
      <c r="R241">
        <v>79.029559394044313</v>
      </c>
      <c r="S241">
        <f>INDEX(AF241:AN241,0,MATCH(Dashboard!$E$15,Lists!$AF$6:$AF$8,0)+3)</f>
        <v>109.64489525828478</v>
      </c>
      <c r="U241" t="s">
        <v>59</v>
      </c>
      <c r="V241">
        <v>3348.8177799999999</v>
      </c>
      <c r="W241">
        <v>3461.2533999999996</v>
      </c>
      <c r="X241">
        <v>3377.4778399999996</v>
      </c>
      <c r="Y241">
        <f ca="1">OFFSET(AT241,0,MATCH(Dashboard!$E$19,Lists!$AH$6:$AH$7,0)-1)</f>
        <v>3558.2566799999995</v>
      </c>
      <c r="Z241">
        <v>3225.3590599999998</v>
      </c>
      <c r="AA241">
        <f>INDEX(AF241:AN241,0,MATCH(Dashboard!$E$15,Lists!$AF$6:$AF$8,0)+6)</f>
        <v>3183.4712799999998</v>
      </c>
      <c r="AD241">
        <f t="shared" si="11"/>
        <v>0.74299999999999999</v>
      </c>
      <c r="AF241">
        <v>22622.306</v>
      </c>
      <c r="AG241">
        <v>25116.871500000001</v>
      </c>
      <c r="AH241">
        <v>27527.9162</v>
      </c>
      <c r="AI241">
        <v>109.64489525828478</v>
      </c>
      <c r="AJ241">
        <v>103.52554089366846</v>
      </c>
      <c r="AK241">
        <v>100.56873672289579</v>
      </c>
      <c r="AL241">
        <v>3183.4712799999998</v>
      </c>
      <c r="AM241">
        <v>3395.1147999999998</v>
      </c>
      <c r="AN241">
        <v>3604.5536999999995</v>
      </c>
      <c r="AP241">
        <v>22257.249199999998</v>
      </c>
      <c r="AQ241">
        <v>23483.1535</v>
      </c>
      <c r="AR241">
        <v>91.324795923112248</v>
      </c>
      <c r="AS241">
        <v>99.011622644282397</v>
      </c>
      <c r="AT241">
        <v>3448.0256799999997</v>
      </c>
      <c r="AU241">
        <v>3558.2566799999995</v>
      </c>
    </row>
    <row r="242" spans="5:47" x14ac:dyDescent="0.45">
      <c r="E242" t="s">
        <v>60</v>
      </c>
      <c r="F242">
        <v>23558.542799999999</v>
      </c>
      <c r="G242">
        <v>25450.532500000001</v>
      </c>
      <c r="H242">
        <v>24138.7955</v>
      </c>
      <c r="I242">
        <f ca="1">OFFSET(AP242,0,MATCH(Dashboard!$E$19,Lists!$AH$6:$AH$7,0)-1)</f>
        <v>25421.081399999999</v>
      </c>
      <c r="J242">
        <v>25310.855800000001</v>
      </c>
      <c r="K242">
        <f>INDEX(AF242:AH242,0,MATCH(Dashboard!$E$15,Lists!$AF$6:$AF$8,0))</f>
        <v>24726.652399999999</v>
      </c>
      <c r="M242" t="s">
        <v>60</v>
      </c>
      <c r="N242">
        <v>36.069814269033515</v>
      </c>
      <c r="O242">
        <v>38.346354576700151</v>
      </c>
      <c r="P242">
        <v>41.520900868238996</v>
      </c>
      <c r="Q242">
        <f ca="1">OFFSET(AR242,0,MATCH(Dashboard!$E$19,Lists!$AH$6:$AH$7,0)-1)</f>
        <v>81.880477697012594</v>
      </c>
      <c r="R242">
        <v>63.419824724892372</v>
      </c>
      <c r="S242">
        <f>INDEX(AF242:AN242,0,MATCH(Dashboard!$E$15,Lists!$AF$6:$AF$8,0)+3)</f>
        <v>93.046479586335138</v>
      </c>
      <c r="U242" t="s">
        <v>60</v>
      </c>
      <c r="V242">
        <v>3886.7450599999997</v>
      </c>
      <c r="W242">
        <v>4003.5899199999994</v>
      </c>
      <c r="X242">
        <v>3855.8803799999996</v>
      </c>
      <c r="Y242">
        <f ca="1">OFFSET(AT242,0,MATCH(Dashboard!$E$19,Lists!$AH$6:$AH$7,0)-1)</f>
        <v>4047.6823199999994</v>
      </c>
      <c r="Z242">
        <v>3758.8770999999997</v>
      </c>
      <c r="AA242">
        <f>INDEX(AF242:AN242,0,MATCH(Dashboard!$E$15,Lists!$AF$6:$AF$8,0)+6)</f>
        <v>3617.7814199999998</v>
      </c>
      <c r="AD242">
        <f t="shared" si="11"/>
        <v>0.74299999999999999</v>
      </c>
      <c r="AF242">
        <v>24726.652399999999</v>
      </c>
      <c r="AG242">
        <v>27628.860499999999</v>
      </c>
      <c r="AH242">
        <v>30463.528999999999</v>
      </c>
      <c r="AI242">
        <v>93.046479586335138</v>
      </c>
      <c r="AJ242">
        <v>88.074146718563114</v>
      </c>
      <c r="AK242">
        <v>85.564184743531598</v>
      </c>
      <c r="AL242">
        <v>3617.7814199999998</v>
      </c>
      <c r="AM242">
        <v>3866.9034799999995</v>
      </c>
      <c r="AN242">
        <v>4109.4116799999993</v>
      </c>
      <c r="AP242">
        <v>24361.098999999998</v>
      </c>
      <c r="AQ242">
        <v>25421.081399999999</v>
      </c>
      <c r="AR242">
        <v>74.829874910116033</v>
      </c>
      <c r="AS242">
        <v>81.880477697012594</v>
      </c>
      <c r="AT242">
        <v>3919.8143599999999</v>
      </c>
      <c r="AU242">
        <v>4047.6823199999994</v>
      </c>
    </row>
    <row r="243" spans="5:47" x14ac:dyDescent="0.45">
      <c r="E243" t="s">
        <v>119</v>
      </c>
      <c r="F243">
        <v>14285.5417</v>
      </c>
      <c r="G243">
        <v>15366.997300000001</v>
      </c>
      <c r="H243">
        <v>14285.6047</v>
      </c>
      <c r="I243">
        <f ca="1">OFFSET(AP243,0,MATCH(Dashboard!$E$19,Lists!$AH$6:$AH$7,0)-1)</f>
        <v>15763.778899999999</v>
      </c>
      <c r="J243">
        <v>14853.067499999999</v>
      </c>
      <c r="K243">
        <f>INDEX(AF243:AH243,0,MATCH(Dashboard!$E$15,Lists!$AF$6:$AF$8,0))</f>
        <v>14373.3982</v>
      </c>
      <c r="M243" t="s">
        <v>119</v>
      </c>
      <c r="N243">
        <v>47.562500481420813</v>
      </c>
      <c r="O243">
        <v>48.985937188507066</v>
      </c>
      <c r="P243">
        <v>58.297807289224089</v>
      </c>
      <c r="Q243">
        <f ca="1">OFFSET(AR243,0,MATCH(Dashboard!$E$19,Lists!$AH$6:$AH$7,0)-1)</f>
        <v>119.59723147867753</v>
      </c>
      <c r="R243">
        <v>93.821679667400517</v>
      </c>
      <c r="S243">
        <f>INDEX(AF243:AN243,0,MATCH(Dashboard!$E$15,Lists!$AF$6:$AF$8,0)+3)</f>
        <v>134.40956485165279</v>
      </c>
      <c r="U243" t="s">
        <v>119</v>
      </c>
      <c r="V243">
        <v>3106.3095799999996</v>
      </c>
      <c r="W243">
        <v>3220.9498199999998</v>
      </c>
      <c r="X243">
        <v>3086.4679999999998</v>
      </c>
      <c r="Y243">
        <f ca="1">OFFSET(AT243,0,MATCH(Dashboard!$E$19,Lists!$AH$6:$AH$7,0)-1)</f>
        <v>3240.7913999999996</v>
      </c>
      <c r="Z243">
        <v>2969.6231399999997</v>
      </c>
      <c r="AA243">
        <f>INDEX(AF243:AN243,0,MATCH(Dashboard!$E$15,Lists!$AF$6:$AF$8,0)+6)</f>
        <v>2888.0521999999996</v>
      </c>
      <c r="AD243">
        <f t="shared" si="11"/>
        <v>0.74299999999999999</v>
      </c>
      <c r="AF243">
        <v>14373.3982</v>
      </c>
      <c r="AG243">
        <v>16273.7101</v>
      </c>
      <c r="AH243">
        <v>18296.678199999998</v>
      </c>
      <c r="AI243">
        <v>134.40956485165279</v>
      </c>
      <c r="AJ243">
        <v>126.63912788266128</v>
      </c>
      <c r="AK243">
        <v>122.9256693057156</v>
      </c>
      <c r="AL243">
        <v>2888.0521999999996</v>
      </c>
      <c r="AM243">
        <v>3048.9894599999998</v>
      </c>
      <c r="AN243">
        <v>3223.1544399999998</v>
      </c>
      <c r="AP243">
        <v>14590.4665</v>
      </c>
      <c r="AQ243">
        <v>15763.778899999999</v>
      </c>
      <c r="AR243">
        <v>111.88073911882317</v>
      </c>
      <c r="AS243">
        <v>119.59723147867753</v>
      </c>
      <c r="AT243">
        <v>3141.5834999999997</v>
      </c>
      <c r="AU243">
        <v>3240.7913999999996</v>
      </c>
    </row>
    <row r="244" spans="5:47" x14ac:dyDescent="0.45">
      <c r="E244" t="s">
        <v>120</v>
      </c>
      <c r="F244">
        <v>19139.999100000001</v>
      </c>
      <c r="G244">
        <v>21134.371800000001</v>
      </c>
      <c r="H244">
        <v>19201.695800000001</v>
      </c>
      <c r="I244">
        <f ca="1">OFFSET(AP244,0,MATCH(Dashboard!$E$19,Lists!$AH$6:$AH$7,0)-1)</f>
        <v>20644.605</v>
      </c>
      <c r="J244">
        <v>20386.1741</v>
      </c>
      <c r="K244">
        <f>INDEX(AF244:AH244,0,MATCH(Dashboard!$E$15,Lists!$AF$6:$AF$8,0))</f>
        <v>18990.690299999998</v>
      </c>
      <c r="M244" t="s">
        <v>120</v>
      </c>
      <c r="N244">
        <v>43.184756522490098</v>
      </c>
      <c r="O244">
        <v>44.007591057624047</v>
      </c>
      <c r="P244">
        <v>53.889572853957503</v>
      </c>
      <c r="Q244">
        <f ca="1">OFFSET(AR244,0,MATCH(Dashboard!$E$19,Lists!$AH$6:$AH$7,0)-1)</f>
        <v>115.66490401447548</v>
      </c>
      <c r="R244">
        <v>87.604074005572016</v>
      </c>
      <c r="S244">
        <f>INDEX(AF244:AN244,0,MATCH(Dashboard!$E$15,Lists!$AF$6:$AF$8,0)+3)</f>
        <v>133.50425560932189</v>
      </c>
      <c r="U244" t="s">
        <v>120</v>
      </c>
      <c r="V244">
        <v>3240.7913999999996</v>
      </c>
      <c r="W244">
        <v>3375.2732199999996</v>
      </c>
      <c r="X244">
        <v>3190.0851399999997</v>
      </c>
      <c r="Y244">
        <f ca="1">OFFSET(AT244,0,MATCH(Dashboard!$E$19,Lists!$AH$6:$AH$7,0)-1)</f>
        <v>3342.2039199999999</v>
      </c>
      <c r="Z244">
        <v>3082.0587599999999</v>
      </c>
      <c r="AA244">
        <f>INDEX(AF244:AN244,0,MATCH(Dashboard!$E$15,Lists!$AF$6:$AF$8,0)+6)</f>
        <v>2918.9168799999998</v>
      </c>
      <c r="AD244">
        <f t="shared" si="11"/>
        <v>0.74299999999999999</v>
      </c>
      <c r="AF244">
        <v>18990.690299999998</v>
      </c>
      <c r="AG244">
        <v>21010.101500000001</v>
      </c>
      <c r="AH244">
        <v>22949.639500000001</v>
      </c>
      <c r="AI244">
        <v>133.50425560932189</v>
      </c>
      <c r="AJ244">
        <v>125.31594002337843</v>
      </c>
      <c r="AK244">
        <v>121.82587151386694</v>
      </c>
      <c r="AL244">
        <v>2918.9168799999998</v>
      </c>
      <c r="AM244">
        <v>3093.0818599999998</v>
      </c>
      <c r="AN244">
        <v>3258.4283599999999</v>
      </c>
      <c r="AP244">
        <v>19597.2016</v>
      </c>
      <c r="AQ244">
        <v>20644.605</v>
      </c>
      <c r="AR244">
        <v>107.67288058112251</v>
      </c>
      <c r="AS244">
        <v>115.66490401447548</v>
      </c>
      <c r="AT244">
        <v>3245.2006399999996</v>
      </c>
      <c r="AU244">
        <v>3342.2039199999999</v>
      </c>
    </row>
    <row r="245" spans="5:47" x14ac:dyDescent="0.45">
      <c r="E245" t="s">
        <v>121</v>
      </c>
      <c r="F245">
        <v>20660.4391</v>
      </c>
      <c r="G245">
        <v>21739.55</v>
      </c>
      <c r="H245">
        <v>20797.864600000001</v>
      </c>
      <c r="I245">
        <f ca="1">OFFSET(AP245,0,MATCH(Dashboard!$E$19,Lists!$AH$6:$AH$7,0)-1)</f>
        <v>22418.500499999998</v>
      </c>
      <c r="J245">
        <v>21885.780500000001</v>
      </c>
      <c r="K245">
        <f>INDEX(AF245:AH245,0,MATCH(Dashboard!$E$15,Lists!$AF$6:$AF$8,0))</f>
        <v>21149.1711</v>
      </c>
      <c r="M245" t="s">
        <v>121</v>
      </c>
      <c r="N245">
        <v>42.734229626311809</v>
      </c>
      <c r="O245">
        <v>44.258127586382379</v>
      </c>
      <c r="P245">
        <v>49.416509640809892</v>
      </c>
      <c r="Q245">
        <f ca="1">OFFSET(AR245,0,MATCH(Dashboard!$E$19,Lists!$AH$6:$AH$7,0)-1)</f>
        <v>100.31977283905573</v>
      </c>
      <c r="R245">
        <v>78.180805288842649</v>
      </c>
      <c r="S245">
        <f>INDEX(AF245:AN245,0,MATCH(Dashboard!$E$15,Lists!$AF$6:$AF$8,0)+3)</f>
        <v>114.29646909321359</v>
      </c>
      <c r="U245" t="s">
        <v>121</v>
      </c>
      <c r="V245">
        <v>3454.6395399999997</v>
      </c>
      <c r="W245">
        <v>3569.2797799999998</v>
      </c>
      <c r="X245">
        <v>3443.6164399999998</v>
      </c>
      <c r="Y245">
        <f ca="1">OFFSET(AT245,0,MATCH(Dashboard!$E$19,Lists!$AH$6:$AH$7,0)-1)</f>
        <v>3617.7814199999998</v>
      </c>
      <c r="Z245">
        <v>3306.93</v>
      </c>
      <c r="AA245">
        <f>INDEX(AF245:AN245,0,MATCH(Dashboard!$E$15,Lists!$AF$6:$AF$8,0)+6)</f>
        <v>3183.4712799999998</v>
      </c>
      <c r="AD245">
        <f t="shared" si="11"/>
        <v>0.74299999999999999</v>
      </c>
      <c r="AF245">
        <v>21149.1711</v>
      </c>
      <c r="AG245">
        <v>23502.356599999999</v>
      </c>
      <c r="AH245">
        <v>25708.316299999999</v>
      </c>
      <c r="AI245">
        <v>114.29646909321359</v>
      </c>
      <c r="AJ245">
        <v>107.7332486767032</v>
      </c>
      <c r="AK245">
        <v>104.72293982169056</v>
      </c>
      <c r="AL245">
        <v>3183.4712799999998</v>
      </c>
      <c r="AM245">
        <v>3386.2963199999995</v>
      </c>
      <c r="AN245">
        <v>3575.8936399999998</v>
      </c>
      <c r="AP245">
        <v>21198.5049</v>
      </c>
      <c r="AQ245">
        <v>22418.500499999998</v>
      </c>
      <c r="AR245">
        <v>92.075345426778952</v>
      </c>
      <c r="AS245">
        <v>100.31977283905573</v>
      </c>
      <c r="AT245">
        <v>3511.9596599999995</v>
      </c>
      <c r="AU245">
        <v>3617.7814199999998</v>
      </c>
    </row>
    <row r="246" spans="5:47" x14ac:dyDescent="0.45">
      <c r="E246" t="s">
        <v>122</v>
      </c>
      <c r="F246">
        <v>22287.832900000001</v>
      </c>
      <c r="G246">
        <v>24207.7601</v>
      </c>
      <c r="H246">
        <v>22677.3354</v>
      </c>
      <c r="I246">
        <f ca="1">OFFSET(AP246,0,MATCH(Dashboard!$E$19,Lists!$AH$6:$AH$7,0)-1)</f>
        <v>24152.083900000001</v>
      </c>
      <c r="J246">
        <v>23954.651000000002</v>
      </c>
      <c r="K246">
        <f>INDEX(AF246:AH246,0,MATCH(Dashboard!$E$15,Lists!$AF$6:$AF$8,0))</f>
        <v>23160.814399999999</v>
      </c>
      <c r="M246" t="s">
        <v>122</v>
      </c>
      <c r="N246">
        <v>39.18920960582453</v>
      </c>
      <c r="O246">
        <v>40.543780081068931</v>
      </c>
      <c r="P246">
        <v>45.13133151972967</v>
      </c>
      <c r="Q246">
        <f ca="1">OFFSET(AR246,0,MATCH(Dashboard!$E$19,Lists!$AH$6:$AH$7,0)-1)</f>
        <v>90.302713607763096</v>
      </c>
      <c r="R246">
        <v>69.713113683319534</v>
      </c>
      <c r="S246">
        <f>INDEX(AF246:AN246,0,MATCH(Dashboard!$E$15,Lists!$AF$6:$AF$8,0)+3)</f>
        <v>102.58052981674248</v>
      </c>
      <c r="U246" t="s">
        <v>122</v>
      </c>
      <c r="V246">
        <v>3831.6295599999999</v>
      </c>
      <c r="W246">
        <v>3957.2928999999995</v>
      </c>
      <c r="X246">
        <v>3836.0387999999998</v>
      </c>
      <c r="Y246">
        <f ca="1">OFFSET(AT246,0,MATCH(Dashboard!$E$19,Lists!$AH$6:$AH$7,0)-1)</f>
        <v>4023.4314999999997</v>
      </c>
      <c r="Z246">
        <v>3728.0124199999996</v>
      </c>
      <c r="AA246">
        <f>INDEX(AF246:AN246,0,MATCH(Dashboard!$E$15,Lists!$AF$6:$AF$8,0)+6)</f>
        <v>3584.7121199999997</v>
      </c>
      <c r="AD246">
        <f t="shared" si="11"/>
        <v>0.74299999999999999</v>
      </c>
      <c r="AF246">
        <v>23160.814399999999</v>
      </c>
      <c r="AG246">
        <v>25799.755799999999</v>
      </c>
      <c r="AH246">
        <v>28239.4352</v>
      </c>
      <c r="AI246">
        <v>102.58052981674248</v>
      </c>
      <c r="AJ246">
        <v>96.606755520826468</v>
      </c>
      <c r="AK246">
        <v>93.937396763979862</v>
      </c>
      <c r="AL246">
        <v>3584.7121199999997</v>
      </c>
      <c r="AM246">
        <v>3811.7879799999996</v>
      </c>
      <c r="AN246">
        <v>4021.2268799999997</v>
      </c>
      <c r="AP246">
        <v>23116.8711</v>
      </c>
      <c r="AQ246">
        <v>24152.083900000001</v>
      </c>
      <c r="AR246">
        <v>82.537068722456794</v>
      </c>
      <c r="AS246">
        <v>90.302713607763096</v>
      </c>
      <c r="AT246">
        <v>3910.9958799999995</v>
      </c>
      <c r="AU246">
        <v>4023.4314999999997</v>
      </c>
    </row>
    <row r="247" spans="5:47" x14ac:dyDescent="0.45">
      <c r="E247" t="s">
        <v>123</v>
      </c>
      <c r="F247">
        <v>23931.376</v>
      </c>
      <c r="G247">
        <v>25607.004199999999</v>
      </c>
      <c r="H247">
        <v>24524.161400000001</v>
      </c>
      <c r="I247">
        <f ca="1">OFFSET(AP247,0,MATCH(Dashboard!$E$19,Lists!$AH$6:$AH$7,0)-1)</f>
        <v>25927.291300000001</v>
      </c>
      <c r="J247">
        <v>25976.053899999999</v>
      </c>
      <c r="K247">
        <f>INDEX(AF247:AH247,0,MATCH(Dashboard!$E$15,Lists!$AF$6:$AF$8,0))</f>
        <v>25126.450199999999</v>
      </c>
      <c r="M247" t="s">
        <v>123</v>
      </c>
      <c r="N247">
        <v>34.431970622318111</v>
      </c>
      <c r="O247">
        <v>35.683806265033304</v>
      </c>
      <c r="P247">
        <v>38.82089701161258</v>
      </c>
      <c r="Q247">
        <f ca="1">OFFSET(AR247,0,MATCH(Dashboard!$E$19,Lists!$AH$6:$AH$7,0)-1)</f>
        <v>76.883815328976752</v>
      </c>
      <c r="R247">
        <v>58.777285105882036</v>
      </c>
      <c r="S247">
        <f>INDEX(AF247:AN247,0,MATCH(Dashboard!$E$15,Lists!$AF$6:$AF$8,0)+3)</f>
        <v>87.101870910109582</v>
      </c>
      <c r="U247" t="s">
        <v>123</v>
      </c>
      <c r="V247">
        <v>4424.6723399999992</v>
      </c>
      <c r="W247">
        <v>4565.7680199999995</v>
      </c>
      <c r="X247">
        <v>4360.7383599999994</v>
      </c>
      <c r="Y247">
        <f ca="1">OFFSET(AT247,0,MATCH(Dashboard!$E$19,Lists!$AH$6:$AH$7,0)-1)</f>
        <v>4548.1310599999997</v>
      </c>
      <c r="Z247">
        <v>4299.009</v>
      </c>
      <c r="AA247">
        <f>INDEX(AF247:AN247,0,MATCH(Dashboard!$E$15,Lists!$AF$6:$AF$8,0)+6)</f>
        <v>4129.2532599999995</v>
      </c>
      <c r="AD247">
        <f t="shared" si="11"/>
        <v>0.74299999999999999</v>
      </c>
      <c r="AF247">
        <v>25126.450199999999</v>
      </c>
      <c r="AG247">
        <v>28300.418799999999</v>
      </c>
      <c r="AH247">
        <v>31357.691200000001</v>
      </c>
      <c r="AI247">
        <v>87.101870910109582</v>
      </c>
      <c r="AJ247">
        <v>82.022648614467485</v>
      </c>
      <c r="AK247">
        <v>79.617402744551796</v>
      </c>
      <c r="AL247">
        <v>4129.2532599999995</v>
      </c>
      <c r="AM247">
        <v>4400.4215199999999</v>
      </c>
      <c r="AN247">
        <v>4664.9759199999999</v>
      </c>
      <c r="AP247">
        <v>24655.116900000001</v>
      </c>
      <c r="AQ247">
        <v>25927.291300000001</v>
      </c>
      <c r="AR247">
        <v>70.146442077603112</v>
      </c>
      <c r="AS247">
        <v>76.883815328976752</v>
      </c>
      <c r="AT247">
        <v>4418.0584799999997</v>
      </c>
      <c r="AU247">
        <v>4548.1310599999997</v>
      </c>
    </row>
    <row r="248" spans="5:47" x14ac:dyDescent="0.45">
      <c r="E248" t="s">
        <v>115</v>
      </c>
      <c r="G248">
        <v>164408.19958988656</v>
      </c>
      <c r="H248">
        <v>169790.7895703369</v>
      </c>
      <c r="I248">
        <v>186191.77339557715</v>
      </c>
      <c r="J248">
        <v>157684</v>
      </c>
      <c r="K248">
        <v>211307.98173141715</v>
      </c>
      <c r="M248" t="s">
        <v>115</v>
      </c>
      <c r="O248">
        <v>10.713800061222495</v>
      </c>
      <c r="P248">
        <v>10.894950094410479</v>
      </c>
      <c r="Q248">
        <v>12.203817099154763</v>
      </c>
      <c r="R248">
        <v>11.463791636824423</v>
      </c>
      <c r="S248">
        <v>18.241722401621441</v>
      </c>
      <c r="U248" t="s">
        <v>115</v>
      </c>
      <c r="W248">
        <v>65455.28906722182</v>
      </c>
      <c r="X248">
        <v>64823.02695848982</v>
      </c>
      <c r="Y248">
        <v>67514.662798714562</v>
      </c>
      <c r="Z248">
        <v>63736.96444961815</v>
      </c>
      <c r="AA248">
        <v>67669.848404090299</v>
      </c>
      <c r="AC248">
        <v>39309.109399845991</v>
      </c>
      <c r="AD248">
        <v>0.36218003372370133</v>
      </c>
    </row>
    <row r="249" spans="5:47" x14ac:dyDescent="0.45">
      <c r="E249" t="s">
        <v>116</v>
      </c>
      <c r="G249">
        <v>143508.15593607171</v>
      </c>
      <c r="H249">
        <v>148199.85702148196</v>
      </c>
      <c r="I249">
        <v>145849.39083141714</v>
      </c>
      <c r="J249">
        <v>131336</v>
      </c>
      <c r="K249">
        <v>148584.72903669713</v>
      </c>
      <c r="M249" t="s">
        <v>116</v>
      </c>
      <c r="O249">
        <v>10.02399157177215</v>
      </c>
      <c r="P249">
        <v>10.329970660653064</v>
      </c>
      <c r="Q249">
        <v>12.234570555231615</v>
      </c>
      <c r="R249">
        <v>11.339474606823309</v>
      </c>
      <c r="S249">
        <v>18.847739606832679</v>
      </c>
      <c r="U249" t="s">
        <v>116</v>
      </c>
      <c r="W249">
        <v>63251.134892730632</v>
      </c>
      <c r="X249">
        <v>62594.920582503473</v>
      </c>
      <c r="Y249">
        <v>63742.680502138544</v>
      </c>
      <c r="Z249">
        <v>60823.249254543553</v>
      </c>
      <c r="AA249">
        <v>62390.508576634784</v>
      </c>
      <c r="AC249">
        <v>39197.408800154</v>
      </c>
      <c r="AD249">
        <v>0.39938397956427152</v>
      </c>
    </row>
    <row r="250" spans="5:47" x14ac:dyDescent="0.45">
      <c r="E250" t="s">
        <v>117</v>
      </c>
      <c r="G250">
        <v>113527.42722985413</v>
      </c>
      <c r="H250">
        <v>115888.81808452027</v>
      </c>
      <c r="I250">
        <v>123425.08075128126</v>
      </c>
      <c r="J250">
        <v>104755.52940454919</v>
      </c>
      <c r="K250">
        <v>122825.8169337041</v>
      </c>
      <c r="M250" t="s">
        <v>117</v>
      </c>
      <c r="O250">
        <v>10.42375229180421</v>
      </c>
      <c r="P250">
        <v>12.00438546127763</v>
      </c>
      <c r="Q250">
        <v>18.43811211259132</v>
      </c>
      <c r="R250">
        <v>14.809629001000713</v>
      </c>
      <c r="S250">
        <v>25.155480704874165</v>
      </c>
      <c r="U250" t="s">
        <v>117</v>
      </c>
      <c r="W250">
        <v>39983.053214437365</v>
      </c>
      <c r="X250">
        <v>38949.931591623397</v>
      </c>
      <c r="Y250">
        <v>41335.169705436434</v>
      </c>
      <c r="Z250">
        <v>38363.16365740011</v>
      </c>
      <c r="AA250">
        <v>40011.411493228254</v>
      </c>
      <c r="AC250">
        <v>16259.807299845999</v>
      </c>
      <c r="AD250">
        <v>0.62997081205737904</v>
      </c>
    </row>
    <row r="251" spans="5:47" x14ac:dyDescent="0.45">
      <c r="E251" t="s">
        <v>124</v>
      </c>
      <c r="G251">
        <v>82088.477882482664</v>
      </c>
      <c r="H251">
        <v>85437.704011145019</v>
      </c>
      <c r="I251">
        <v>88728.238463024725</v>
      </c>
      <c r="J251">
        <v>74294.154832235261</v>
      </c>
      <c r="K251">
        <v>80909.255662339012</v>
      </c>
      <c r="M251" t="s">
        <v>124</v>
      </c>
      <c r="O251">
        <v>15.2242458618156</v>
      </c>
      <c r="P251">
        <v>18.689888230672029</v>
      </c>
      <c r="Q251">
        <v>29.031508388089438</v>
      </c>
      <c r="R251">
        <v>23.656551104882968</v>
      </c>
      <c r="S251">
        <v>39.930516055075245</v>
      </c>
      <c r="U251" t="s">
        <v>124</v>
      </c>
      <c r="W251">
        <v>22729.823381146762</v>
      </c>
      <c r="X251">
        <v>21798.788144007063</v>
      </c>
      <c r="Y251">
        <v>23566.387428844308</v>
      </c>
      <c r="Z251">
        <v>21063.88165407244</v>
      </c>
      <c r="AA251">
        <v>21829.066007782079</v>
      </c>
      <c r="AC251">
        <v>11905.094166306</v>
      </c>
      <c r="AD251">
        <v>0.7016584895511353</v>
      </c>
    </row>
    <row r="252" spans="5:47" x14ac:dyDescent="0.45">
      <c r="E252" t="s">
        <v>125</v>
      </c>
      <c r="G252">
        <v>67457.440409803719</v>
      </c>
      <c r="H252">
        <v>64401.635562475094</v>
      </c>
      <c r="I252">
        <v>63592.218828009776</v>
      </c>
      <c r="J252">
        <v>54122.149427169148</v>
      </c>
      <c r="K252">
        <v>56481.167956101206</v>
      </c>
      <c r="M252" t="s">
        <v>125</v>
      </c>
      <c r="O252">
        <v>17.935759948212091</v>
      </c>
      <c r="P252">
        <v>27.056813867451549</v>
      </c>
      <c r="Q252">
        <v>33.723869397109546</v>
      </c>
      <c r="R252">
        <v>38.082681333475236</v>
      </c>
      <c r="S252">
        <v>64.754659082975735</v>
      </c>
      <c r="U252" t="s">
        <v>125</v>
      </c>
      <c r="W252">
        <v>15395.999251430645</v>
      </c>
      <c r="X252">
        <v>12715.248128554191</v>
      </c>
      <c r="Y252">
        <v>13780.411717174813</v>
      </c>
      <c r="Z252">
        <v>11875.595310891104</v>
      </c>
      <c r="AA252">
        <v>12346.195990536322</v>
      </c>
      <c r="AC252">
        <v>6393.2716752739998</v>
      </c>
      <c r="AD252">
        <v>0.6232766991175589</v>
      </c>
    </row>
    <row r="253" spans="5:47" x14ac:dyDescent="0.45">
      <c r="E253" t="s">
        <v>118</v>
      </c>
      <c r="G253">
        <v>129570.82144805339</v>
      </c>
      <c r="J253">
        <v>118110.96688423217</v>
      </c>
      <c r="M253" t="s">
        <v>118</v>
      </c>
      <c r="O253">
        <v>12.046108212040192</v>
      </c>
      <c r="R253">
        <v>18.69086454562861</v>
      </c>
      <c r="U253" t="s">
        <v>118</v>
      </c>
      <c r="W253">
        <v>32661.699177792103</v>
      </c>
      <c r="Z253">
        <v>30597.845673233693</v>
      </c>
      <c r="AC253">
        <v>10394.783299999999</v>
      </c>
      <c r="AD253">
        <v>0</v>
      </c>
    </row>
    <row r="254" spans="5:47" x14ac:dyDescent="0.45">
      <c r="E254" t="s">
        <v>138</v>
      </c>
      <c r="G254">
        <v>116297.63315049693</v>
      </c>
      <c r="J254">
        <v>105123.00052074852</v>
      </c>
      <c r="M254" t="s">
        <v>138</v>
      </c>
      <c r="O254">
        <v>7.4594483812532442</v>
      </c>
      <c r="R254">
        <v>15.298422038750445</v>
      </c>
      <c r="U254" t="s">
        <v>138</v>
      </c>
      <c r="W254">
        <v>51358.100955460541</v>
      </c>
      <c r="Z254">
        <v>49368.675290945299</v>
      </c>
      <c r="AC254">
        <v>28913.591299999996</v>
      </c>
      <c r="AD254">
        <v>0</v>
      </c>
    </row>
    <row r="257" spans="5:47" x14ac:dyDescent="0.45">
      <c r="E257" t="s">
        <v>146</v>
      </c>
      <c r="F257" t="s">
        <v>42</v>
      </c>
      <c r="G257" t="s">
        <v>43</v>
      </c>
      <c r="H257" t="s">
        <v>427</v>
      </c>
      <c r="I257" t="s">
        <v>44</v>
      </c>
      <c r="J257" t="s">
        <v>45</v>
      </c>
      <c r="K257" t="s">
        <v>46</v>
      </c>
      <c r="M257" t="s">
        <v>137</v>
      </c>
      <c r="N257" t="s">
        <v>42</v>
      </c>
      <c r="O257" t="s">
        <v>43</v>
      </c>
      <c r="P257" t="s">
        <v>427</v>
      </c>
      <c r="Q257" t="s">
        <v>44</v>
      </c>
      <c r="R257" t="s">
        <v>45</v>
      </c>
      <c r="S257" t="s">
        <v>46</v>
      </c>
      <c r="U257" t="s">
        <v>539</v>
      </c>
      <c r="V257" t="s">
        <v>42</v>
      </c>
      <c r="W257" t="s">
        <v>43</v>
      </c>
      <c r="X257" t="s">
        <v>427</v>
      </c>
      <c r="Y257" t="s">
        <v>44</v>
      </c>
      <c r="Z257" t="s">
        <v>45</v>
      </c>
      <c r="AA257" t="s">
        <v>46</v>
      </c>
      <c r="AD257" t="s">
        <v>234</v>
      </c>
      <c r="AF257" t="s">
        <v>164</v>
      </c>
      <c r="AG257" t="s">
        <v>165</v>
      </c>
      <c r="AH257" t="s">
        <v>166</v>
      </c>
      <c r="AI257" t="s">
        <v>167</v>
      </c>
      <c r="AJ257" t="s">
        <v>168</v>
      </c>
      <c r="AK257" t="s">
        <v>169</v>
      </c>
      <c r="AL257" t="s">
        <v>418</v>
      </c>
      <c r="AM257" t="s">
        <v>419</v>
      </c>
      <c r="AN257" t="s">
        <v>420</v>
      </c>
      <c r="AP257" t="s">
        <v>173</v>
      </c>
      <c r="AQ257" t="s">
        <v>174</v>
      </c>
      <c r="AR257" t="s">
        <v>176</v>
      </c>
      <c r="AS257" t="s">
        <v>175</v>
      </c>
      <c r="AT257" t="s">
        <v>416</v>
      </c>
      <c r="AU257" t="s">
        <v>417</v>
      </c>
    </row>
    <row r="258" spans="5:47" x14ac:dyDescent="0.45">
      <c r="E258" t="s">
        <v>57</v>
      </c>
      <c r="F258">
        <v>32122.982</v>
      </c>
      <c r="G258">
        <v>35982.112999999998</v>
      </c>
      <c r="H258">
        <v>36029.106</v>
      </c>
      <c r="I258">
        <f ca="1">OFFSET(AP258,0,MATCH(Dashboard!$E$19,Lists!$AH$6:$AH$7,0)-1)</f>
        <v>42195.717000000004</v>
      </c>
      <c r="J258">
        <v>64437.927000000003</v>
      </c>
      <c r="K258">
        <f>INDEX(AF258:AH258,0,MATCH(Dashboard!$E$15,Lists!$AF$6:$AF$8,0))</f>
        <v>45774.982000000004</v>
      </c>
      <c r="M258" t="s">
        <v>57</v>
      </c>
      <c r="N258">
        <v>50.627791999999999</v>
      </c>
      <c r="O258">
        <v>60.088439999999999</v>
      </c>
      <c r="P258">
        <v>73.948318</v>
      </c>
      <c r="Q258">
        <f ca="1">OFFSET(AR258,0,MATCH(Dashboard!$E$19,Lists!$AH$6:$AH$7,0)-1)</f>
        <v>63.462349999999994</v>
      </c>
      <c r="R258">
        <v>62.783306000000003</v>
      </c>
      <c r="S258">
        <f>INDEX(AF258:AN258,0,MATCH(Dashboard!$E$15,Lists!$AF$6:$AF$8,0)+3)</f>
        <v>142.823914</v>
      </c>
      <c r="U258" t="s">
        <v>57</v>
      </c>
      <c r="AD258">
        <f t="shared" ref="AD258:AD274" si="12">$AG$14</f>
        <v>0.74299999999999999</v>
      </c>
      <c r="AF258">
        <v>45774.982000000004</v>
      </c>
      <c r="AG258">
        <v>53080.685000000005</v>
      </c>
      <c r="AI258">
        <v>142.823914</v>
      </c>
      <c r="AJ258">
        <v>138.653458</v>
      </c>
      <c r="AP258">
        <v>38874.343999999997</v>
      </c>
      <c r="AQ258">
        <v>42195.717000000004</v>
      </c>
      <c r="AR258">
        <v>52.646908299999993</v>
      </c>
      <c r="AS258">
        <v>63.462349999999994</v>
      </c>
    </row>
    <row r="259" spans="5:47" x14ac:dyDescent="0.45">
      <c r="E259" t="s">
        <v>58</v>
      </c>
      <c r="F259">
        <v>30287.600999999999</v>
      </c>
      <c r="G259">
        <v>33872.394999999997</v>
      </c>
      <c r="H259">
        <v>34602.837</v>
      </c>
      <c r="I259">
        <f ca="1">OFFSET(AP259,0,MATCH(Dashboard!$E$19,Lists!$AH$6:$AH$7,0)-1)</f>
        <v>41737.839</v>
      </c>
      <c r="J259">
        <v>63314.159</v>
      </c>
      <c r="K259">
        <f>INDEX(AF259:AH259,0,MATCH(Dashboard!$E$15,Lists!$AF$6:$AF$8,0))</f>
        <v>45605.246999999996</v>
      </c>
      <c r="M259" t="s">
        <v>58</v>
      </c>
      <c r="N259">
        <v>54.909092000000001</v>
      </c>
      <c r="O259">
        <v>63.347771000000002</v>
      </c>
      <c r="P259">
        <v>80.938477000000006</v>
      </c>
      <c r="Q259">
        <f ca="1">OFFSET(AR259,0,MATCH(Dashboard!$E$19,Lists!$AH$6:$AH$7,0)-1)</f>
        <v>65.126061699999994</v>
      </c>
      <c r="R259">
        <v>60.828808000000002</v>
      </c>
      <c r="S259">
        <f>INDEX(AF259:AN259,0,MATCH(Dashboard!$E$15,Lists!$AF$6:$AF$8,0)+3)</f>
        <v>138.37766999999999</v>
      </c>
      <c r="U259" t="s">
        <v>58</v>
      </c>
      <c r="AD259">
        <f t="shared" si="12"/>
        <v>0.74299999999999999</v>
      </c>
      <c r="AF259">
        <v>45605.246999999996</v>
      </c>
      <c r="AG259">
        <v>53322.478999999999</v>
      </c>
      <c r="AI259">
        <v>138.37766999999999</v>
      </c>
      <c r="AJ259">
        <v>134.33703600000001</v>
      </c>
      <c r="AP259">
        <v>38299.346999999994</v>
      </c>
      <c r="AQ259">
        <v>41737.839</v>
      </c>
      <c r="AR259">
        <v>55.870945199999994</v>
      </c>
      <c r="AS259">
        <v>65.126061699999994</v>
      </c>
    </row>
    <row r="260" spans="5:47" x14ac:dyDescent="0.45">
      <c r="E260" t="s">
        <v>56</v>
      </c>
      <c r="F260">
        <v>33473.300999999999</v>
      </c>
      <c r="G260">
        <v>37385.204000000005</v>
      </c>
      <c r="H260">
        <v>37815.879999999997</v>
      </c>
      <c r="I260">
        <f ca="1">OFFSET(AP260,0,MATCH(Dashboard!$E$19,Lists!$AH$6:$AH$7,0)-1)</f>
        <v>38206.89</v>
      </c>
      <c r="J260">
        <v>68862.899999999994</v>
      </c>
      <c r="K260">
        <f>INDEX(AF260:AH260,0,MATCH(Dashboard!$E$15,Lists!$AF$6:$AF$8,0))</f>
        <v>50423.05</v>
      </c>
      <c r="M260" t="s">
        <v>56</v>
      </c>
      <c r="N260">
        <v>44.738636</v>
      </c>
      <c r="O260">
        <v>50.462502000000001</v>
      </c>
      <c r="P260">
        <v>65.235588000000007</v>
      </c>
      <c r="Q260">
        <f ca="1">OFFSET(AR260,0,MATCH(Dashboard!$E$19,Lists!$AH$6:$AH$7,0)-1)</f>
        <v>58.926293999999992</v>
      </c>
      <c r="R260">
        <v>55.577328000000001</v>
      </c>
      <c r="S260">
        <f>INDEX(AF260:AN260,0,MATCH(Dashboard!$E$15,Lists!$AF$6:$AF$8,0)+3)</f>
        <v>126.431236</v>
      </c>
      <c r="U260" t="s">
        <v>56</v>
      </c>
      <c r="AD260">
        <f t="shared" si="12"/>
        <v>0.74299999999999999</v>
      </c>
      <c r="AF260">
        <v>50423.05</v>
      </c>
      <c r="AG260">
        <v>58894.595999999998</v>
      </c>
      <c r="AI260">
        <v>126.431236</v>
      </c>
      <c r="AJ260">
        <v>122.73942599999999</v>
      </c>
      <c r="AP260">
        <v>34652.728999999999</v>
      </c>
      <c r="AQ260">
        <v>38206.89</v>
      </c>
      <c r="AR260">
        <v>48.784689100000001</v>
      </c>
      <c r="AS260">
        <v>58.926293999999992</v>
      </c>
    </row>
    <row r="261" spans="5:47" x14ac:dyDescent="0.45">
      <c r="E261" t="s">
        <v>59</v>
      </c>
      <c r="F261">
        <v>38914.097000000002</v>
      </c>
      <c r="G261">
        <v>44052.425000000003</v>
      </c>
      <c r="H261">
        <v>43298.034999999996</v>
      </c>
      <c r="I261">
        <f ca="1">OFFSET(AP261,0,MATCH(Dashboard!$E$19,Lists!$AH$6:$AH$7,0)-1)</f>
        <v>50963.023999999998</v>
      </c>
      <c r="J261">
        <v>0</v>
      </c>
      <c r="K261">
        <f>INDEX(AF261:AH261,0,MATCH(Dashboard!$E$15,Lists!$AF$6:$AF$8,0))</f>
        <v>54918.705000000002</v>
      </c>
      <c r="M261" t="s">
        <v>59</v>
      </c>
      <c r="N261">
        <v>38.634917999999999</v>
      </c>
      <c r="O261">
        <v>39.758301000000003</v>
      </c>
      <c r="P261">
        <v>55.935467000000003</v>
      </c>
      <c r="Q261">
        <f ca="1">OFFSET(AR261,0,MATCH(Dashboard!$E$19,Lists!$AH$6:$AH$7,0)-1)</f>
        <v>49.0560385</v>
      </c>
      <c r="R261">
        <v>0</v>
      </c>
      <c r="S261">
        <f>INDEX(AF261:AN261,0,MATCH(Dashboard!$E$15,Lists!$AF$6:$AF$8,0)+3)</f>
        <v>113.16754899999999</v>
      </c>
      <c r="U261" t="s">
        <v>59</v>
      </c>
      <c r="AD261">
        <f t="shared" si="12"/>
        <v>0.74299999999999999</v>
      </c>
      <c r="AF261">
        <v>54918.705000000002</v>
      </c>
      <c r="AG261">
        <v>64372.703999999998</v>
      </c>
      <c r="AI261">
        <v>113.16754899999999</v>
      </c>
      <c r="AJ261">
        <v>109.863029</v>
      </c>
      <c r="AP261">
        <v>46775.394</v>
      </c>
      <c r="AQ261">
        <v>50963.023999999998</v>
      </c>
      <c r="AR261">
        <v>40.121174799999999</v>
      </c>
      <c r="AS261">
        <v>49.0560385</v>
      </c>
    </row>
    <row r="262" spans="5:47" x14ac:dyDescent="0.45">
      <c r="E262" t="s">
        <v>60</v>
      </c>
      <c r="F262">
        <v>40287.945</v>
      </c>
      <c r="G262">
        <v>45769.093000000001</v>
      </c>
      <c r="H262">
        <v>45568.656999999999</v>
      </c>
      <c r="I262">
        <f ca="1">OFFSET(AP262,0,MATCH(Dashboard!$E$19,Lists!$AH$6:$AH$7,0)-1)</f>
        <v>0</v>
      </c>
      <c r="J262">
        <v>0</v>
      </c>
      <c r="K262">
        <f>INDEX(AF262:AH262,0,MATCH(Dashboard!$E$15,Lists!$AF$6:$AF$8,0))</f>
        <v>0</v>
      </c>
      <c r="M262" t="s">
        <v>60</v>
      </c>
      <c r="N262">
        <v>32.575038999999997</v>
      </c>
      <c r="O262">
        <v>36.701743999999998</v>
      </c>
      <c r="P262">
        <v>47.196162999999999</v>
      </c>
      <c r="Q262">
        <f ca="1">OFFSET(AR262,0,MATCH(Dashboard!$E$19,Lists!$AH$6:$AH$7,0)-1)</f>
        <v>0</v>
      </c>
      <c r="R262">
        <v>0</v>
      </c>
      <c r="S262">
        <f>INDEX(AF262:AN262,0,MATCH(Dashboard!$E$15,Lists!$AF$6:$AF$8,0)+3)</f>
        <v>0</v>
      </c>
      <c r="U262" t="s">
        <v>60</v>
      </c>
      <c r="AD262">
        <f t="shared" si="12"/>
        <v>0.74299999999999999</v>
      </c>
      <c r="AF262">
        <v>0</v>
      </c>
      <c r="AG262">
        <v>0</v>
      </c>
      <c r="AI262">
        <v>0</v>
      </c>
      <c r="AJ262">
        <v>0</v>
      </c>
      <c r="AP262">
        <v>0</v>
      </c>
      <c r="AQ262">
        <v>0</v>
      </c>
      <c r="AR262">
        <v>0</v>
      </c>
      <c r="AS262">
        <v>0</v>
      </c>
    </row>
    <row r="263" spans="5:47" x14ac:dyDescent="0.45">
      <c r="E263" t="s">
        <v>119</v>
      </c>
      <c r="F263">
        <f t="shared" ref="F263:H267" si="13">F258</f>
        <v>32122.982</v>
      </c>
      <c r="G263">
        <f t="shared" si="13"/>
        <v>35982.112999999998</v>
      </c>
      <c r="H263">
        <f t="shared" si="13"/>
        <v>36029.106</v>
      </c>
      <c r="I263">
        <f ca="1">OFFSET(AP263,0,MATCH(Dashboard!$E$19,Lists!$AH$6:$AH$7,0)-1)</f>
        <v>42195.717000000004</v>
      </c>
      <c r="J263">
        <f>J258</f>
        <v>64437.927000000003</v>
      </c>
      <c r="K263">
        <f>INDEX(AF263:AH263,0,MATCH(Dashboard!$E$15,Lists!$AF$6:$AF$8,0))</f>
        <v>45774.982000000004</v>
      </c>
      <c r="M263" t="s">
        <v>119</v>
      </c>
      <c r="N263">
        <f t="shared" ref="N263:P267" si="14">N258</f>
        <v>50.627791999999999</v>
      </c>
      <c r="O263">
        <f t="shared" si="14"/>
        <v>60.088439999999999</v>
      </c>
      <c r="P263">
        <f t="shared" si="14"/>
        <v>73.948318</v>
      </c>
      <c r="Q263">
        <f ca="1">OFFSET(AR263,0,MATCH(Dashboard!$E$19,Lists!$AH$6:$AH$7,0)-1)</f>
        <v>63.462349999999994</v>
      </c>
      <c r="R263">
        <f>R258</f>
        <v>62.783306000000003</v>
      </c>
      <c r="S263">
        <f>INDEX(AF263:AN263,0,MATCH(Dashboard!$E$15,Lists!$AF$6:$AF$8,0)+3)</f>
        <v>142.823914</v>
      </c>
      <c r="U263" t="s">
        <v>119</v>
      </c>
      <c r="AD263">
        <f t="shared" si="12"/>
        <v>0.74299999999999999</v>
      </c>
      <c r="AF263">
        <f t="shared" ref="AF263:AG267" si="15">AF258</f>
        <v>45774.982000000004</v>
      </c>
      <c r="AG263">
        <f t="shared" si="15"/>
        <v>53080.685000000005</v>
      </c>
      <c r="AI263">
        <f t="shared" ref="AI263:AJ267" si="16">AI258</f>
        <v>142.823914</v>
      </c>
      <c r="AJ263">
        <f t="shared" si="16"/>
        <v>138.653458</v>
      </c>
      <c r="AP263">
        <v>38874.343999999997</v>
      </c>
      <c r="AQ263">
        <v>42195.717000000004</v>
      </c>
      <c r="AR263">
        <v>52.646908299999993</v>
      </c>
      <c r="AS263">
        <v>63.462349999999994</v>
      </c>
    </row>
    <row r="264" spans="5:47" x14ac:dyDescent="0.45">
      <c r="E264" t="s">
        <v>120</v>
      </c>
      <c r="F264">
        <f t="shared" si="13"/>
        <v>30287.600999999999</v>
      </c>
      <c r="G264">
        <f t="shared" si="13"/>
        <v>33872.394999999997</v>
      </c>
      <c r="H264">
        <f t="shared" si="13"/>
        <v>34602.837</v>
      </c>
      <c r="I264">
        <f ca="1">OFFSET(AP264,0,MATCH(Dashboard!$E$19,Lists!$AH$6:$AH$7,0)-1)</f>
        <v>41737.839</v>
      </c>
      <c r="J264">
        <f>J259</f>
        <v>63314.159</v>
      </c>
      <c r="K264">
        <f>INDEX(AF264:AH264,0,MATCH(Dashboard!$E$15,Lists!$AF$6:$AF$8,0))</f>
        <v>45605.246999999996</v>
      </c>
      <c r="M264" t="s">
        <v>120</v>
      </c>
      <c r="N264">
        <f t="shared" si="14"/>
        <v>54.909092000000001</v>
      </c>
      <c r="O264">
        <f t="shared" si="14"/>
        <v>63.347771000000002</v>
      </c>
      <c r="P264">
        <f t="shared" si="14"/>
        <v>80.938477000000006</v>
      </c>
      <c r="Q264">
        <f ca="1">OFFSET(AR264,0,MATCH(Dashboard!$E$19,Lists!$AH$6:$AH$7,0)-1)</f>
        <v>65.126061699999994</v>
      </c>
      <c r="R264">
        <f>R259</f>
        <v>60.828808000000002</v>
      </c>
      <c r="S264">
        <f>INDEX(AF264:AN264,0,MATCH(Dashboard!$E$15,Lists!$AF$6:$AF$8,0)+3)</f>
        <v>138.37766999999999</v>
      </c>
      <c r="U264" t="s">
        <v>120</v>
      </c>
      <c r="AD264">
        <f t="shared" si="12"/>
        <v>0.74299999999999999</v>
      </c>
      <c r="AF264">
        <f t="shared" si="15"/>
        <v>45605.246999999996</v>
      </c>
      <c r="AG264">
        <f t="shared" si="15"/>
        <v>53322.478999999999</v>
      </c>
      <c r="AI264">
        <f t="shared" si="16"/>
        <v>138.37766999999999</v>
      </c>
      <c r="AJ264">
        <f t="shared" si="16"/>
        <v>134.33703600000001</v>
      </c>
      <c r="AP264">
        <v>38299.346999999994</v>
      </c>
      <c r="AQ264">
        <v>41737.839</v>
      </c>
      <c r="AR264">
        <v>55.870945199999994</v>
      </c>
      <c r="AS264">
        <v>65.126061699999994</v>
      </c>
    </row>
    <row r="265" spans="5:47" x14ac:dyDescent="0.45">
      <c r="E265" t="s">
        <v>121</v>
      </c>
      <c r="F265">
        <f t="shared" si="13"/>
        <v>33473.300999999999</v>
      </c>
      <c r="G265">
        <f t="shared" si="13"/>
        <v>37385.204000000005</v>
      </c>
      <c r="H265">
        <f t="shared" si="13"/>
        <v>37815.879999999997</v>
      </c>
      <c r="I265">
        <f ca="1">OFFSET(AP265,0,MATCH(Dashboard!$E$19,Lists!$AH$6:$AH$7,0)-1)</f>
        <v>38206.89</v>
      </c>
      <c r="J265">
        <f>J260</f>
        <v>68862.899999999994</v>
      </c>
      <c r="K265">
        <f>INDEX(AF265:AH265,0,MATCH(Dashboard!$E$15,Lists!$AF$6:$AF$8,0))</f>
        <v>50423.05</v>
      </c>
      <c r="M265" t="s">
        <v>121</v>
      </c>
      <c r="N265">
        <f t="shared" si="14"/>
        <v>44.738636</v>
      </c>
      <c r="O265">
        <f t="shared" si="14"/>
        <v>50.462502000000001</v>
      </c>
      <c r="P265">
        <f t="shared" si="14"/>
        <v>65.235588000000007</v>
      </c>
      <c r="Q265">
        <f ca="1">OFFSET(AR265,0,MATCH(Dashboard!$E$19,Lists!$AH$6:$AH$7,0)-1)</f>
        <v>58.926293999999992</v>
      </c>
      <c r="R265">
        <f>R260</f>
        <v>55.577328000000001</v>
      </c>
      <c r="S265">
        <f>INDEX(AF265:AN265,0,MATCH(Dashboard!$E$15,Lists!$AF$6:$AF$8,0)+3)</f>
        <v>126.431236</v>
      </c>
      <c r="U265" t="s">
        <v>121</v>
      </c>
      <c r="AD265">
        <f t="shared" si="12"/>
        <v>0.74299999999999999</v>
      </c>
      <c r="AF265">
        <f t="shared" si="15"/>
        <v>50423.05</v>
      </c>
      <c r="AG265">
        <f t="shared" si="15"/>
        <v>58894.595999999998</v>
      </c>
      <c r="AI265">
        <f t="shared" si="16"/>
        <v>126.431236</v>
      </c>
      <c r="AJ265">
        <f t="shared" si="16"/>
        <v>122.73942599999999</v>
      </c>
      <c r="AP265">
        <v>34652.728999999999</v>
      </c>
      <c r="AQ265">
        <v>38206.89</v>
      </c>
      <c r="AR265">
        <v>48.784689100000001</v>
      </c>
      <c r="AS265">
        <v>58.926293999999992</v>
      </c>
    </row>
    <row r="266" spans="5:47" x14ac:dyDescent="0.45">
      <c r="E266" t="s">
        <v>122</v>
      </c>
      <c r="F266">
        <f t="shared" si="13"/>
        <v>38914.097000000002</v>
      </c>
      <c r="G266">
        <f t="shared" si="13"/>
        <v>44052.425000000003</v>
      </c>
      <c r="H266">
        <f t="shared" si="13"/>
        <v>43298.034999999996</v>
      </c>
      <c r="I266">
        <f ca="1">OFFSET(AP266,0,MATCH(Dashboard!$E$19,Lists!$AH$6:$AH$7,0)-1)</f>
        <v>50963.023999999998</v>
      </c>
      <c r="J266">
        <f>J261</f>
        <v>0</v>
      </c>
      <c r="K266">
        <f>INDEX(AF266:AH266,0,MATCH(Dashboard!$E$15,Lists!$AF$6:$AF$8,0))</f>
        <v>54918.705000000002</v>
      </c>
      <c r="M266" t="s">
        <v>122</v>
      </c>
      <c r="N266">
        <f t="shared" si="14"/>
        <v>38.634917999999999</v>
      </c>
      <c r="O266">
        <f t="shared" si="14"/>
        <v>39.758301000000003</v>
      </c>
      <c r="P266">
        <f t="shared" si="14"/>
        <v>55.935467000000003</v>
      </c>
      <c r="Q266">
        <f ca="1">OFFSET(AR266,0,MATCH(Dashboard!$E$19,Lists!$AH$6:$AH$7,0)-1)</f>
        <v>49.0560385</v>
      </c>
      <c r="R266">
        <f>R261</f>
        <v>0</v>
      </c>
      <c r="S266">
        <f>INDEX(AF266:AN266,0,MATCH(Dashboard!$E$15,Lists!$AF$6:$AF$8,0)+3)</f>
        <v>113.16754899999999</v>
      </c>
      <c r="U266" t="s">
        <v>122</v>
      </c>
      <c r="AD266">
        <f t="shared" si="12"/>
        <v>0.74299999999999999</v>
      </c>
      <c r="AF266">
        <f t="shared" si="15"/>
        <v>54918.705000000002</v>
      </c>
      <c r="AG266">
        <f t="shared" si="15"/>
        <v>64372.703999999998</v>
      </c>
      <c r="AI266">
        <f t="shared" si="16"/>
        <v>113.16754899999999</v>
      </c>
      <c r="AJ266">
        <f t="shared" si="16"/>
        <v>109.863029</v>
      </c>
      <c r="AP266">
        <v>46775.394</v>
      </c>
      <c r="AQ266">
        <v>50963.023999999998</v>
      </c>
      <c r="AR266">
        <v>40.121174799999999</v>
      </c>
      <c r="AS266">
        <v>49.0560385</v>
      </c>
    </row>
    <row r="267" spans="5:47" x14ac:dyDescent="0.45">
      <c r="E267" t="s">
        <v>123</v>
      </c>
      <c r="F267">
        <f t="shared" si="13"/>
        <v>40287.945</v>
      </c>
      <c r="G267">
        <f t="shared" si="13"/>
        <v>45769.093000000001</v>
      </c>
      <c r="H267">
        <f t="shared" si="13"/>
        <v>45568.656999999999</v>
      </c>
      <c r="I267">
        <f ca="1">OFFSET(AP267,0,MATCH(Dashboard!$E$19,Lists!$AH$6:$AH$7,0)-1)</f>
        <v>0</v>
      </c>
      <c r="J267">
        <f>J262</f>
        <v>0</v>
      </c>
      <c r="K267">
        <f>INDEX(AF267:AH267,0,MATCH(Dashboard!$E$15,Lists!$AF$6:$AF$8,0))</f>
        <v>0</v>
      </c>
      <c r="M267" t="s">
        <v>123</v>
      </c>
      <c r="N267">
        <f t="shared" si="14"/>
        <v>32.575038999999997</v>
      </c>
      <c r="O267">
        <f t="shared" si="14"/>
        <v>36.701743999999998</v>
      </c>
      <c r="P267">
        <f t="shared" si="14"/>
        <v>47.196162999999999</v>
      </c>
      <c r="Q267">
        <f ca="1">OFFSET(AR267,0,MATCH(Dashboard!$E$19,Lists!$AH$6:$AH$7,0)-1)</f>
        <v>0</v>
      </c>
      <c r="R267">
        <f>R262</f>
        <v>0</v>
      </c>
      <c r="S267">
        <f>INDEX(AF267:AN267,0,MATCH(Dashboard!$E$15,Lists!$AF$6:$AF$8,0)+3)</f>
        <v>0</v>
      </c>
      <c r="U267" t="s">
        <v>123</v>
      </c>
      <c r="AD267">
        <f t="shared" si="12"/>
        <v>0.74299999999999999</v>
      </c>
      <c r="AF267">
        <f t="shared" si="15"/>
        <v>0</v>
      </c>
      <c r="AG267">
        <f t="shared" si="15"/>
        <v>0</v>
      </c>
      <c r="AI267">
        <f t="shared" si="16"/>
        <v>0</v>
      </c>
      <c r="AJ267">
        <f t="shared" si="16"/>
        <v>0</v>
      </c>
      <c r="AP267">
        <v>0</v>
      </c>
      <c r="AQ267">
        <v>0</v>
      </c>
      <c r="AR267">
        <v>0</v>
      </c>
      <c r="AS267">
        <v>0</v>
      </c>
    </row>
    <row r="268" spans="5:47" x14ac:dyDescent="0.45">
      <c r="E268" t="s">
        <v>115</v>
      </c>
      <c r="M268" t="s">
        <v>115</v>
      </c>
      <c r="N268">
        <f>6.719234*37950/33700</f>
        <v>7.5666151424332346</v>
      </c>
      <c r="O268">
        <v>6.9238520000000001</v>
      </c>
      <c r="Q268">
        <v>9.8009000000000004</v>
      </c>
      <c r="R268">
        <v>6.9066599999999996</v>
      </c>
      <c r="S268">
        <v>11.118338</v>
      </c>
      <c r="U268" t="s">
        <v>115</v>
      </c>
      <c r="AD268">
        <f t="shared" si="12"/>
        <v>0.74299999999999999</v>
      </c>
    </row>
    <row r="269" spans="5:47" x14ac:dyDescent="0.45">
      <c r="E269" t="s">
        <v>116</v>
      </c>
      <c r="M269" t="s">
        <v>116</v>
      </c>
      <c r="N269">
        <f>6.719234*37950/33700</f>
        <v>7.5666151424332346</v>
      </c>
      <c r="O269">
        <v>6.9238520000000001</v>
      </c>
      <c r="Q269">
        <v>9.8009000000000004</v>
      </c>
      <c r="R269">
        <v>6.9066599999999996</v>
      </c>
      <c r="S269">
        <v>11.118338</v>
      </c>
      <c r="U269" t="s">
        <v>116</v>
      </c>
      <c r="AD269">
        <f t="shared" si="12"/>
        <v>0.74299999999999999</v>
      </c>
    </row>
    <row r="270" spans="5:47" x14ac:dyDescent="0.45">
      <c r="E270" t="s">
        <v>117</v>
      </c>
      <c r="M270" t="s">
        <v>117</v>
      </c>
      <c r="N270">
        <f>6.719234*37950/33700</f>
        <v>7.5666151424332346</v>
      </c>
      <c r="O270">
        <v>6.9238520000000001</v>
      </c>
      <c r="Q270">
        <v>9.8009000000000004</v>
      </c>
      <c r="R270">
        <v>6.9066599999999996</v>
      </c>
      <c r="S270">
        <v>11.118338</v>
      </c>
      <c r="U270" t="s">
        <v>117</v>
      </c>
      <c r="AD270">
        <f t="shared" si="12"/>
        <v>0.74299999999999999</v>
      </c>
    </row>
    <row r="271" spans="5:47" x14ac:dyDescent="0.45">
      <c r="E271" t="s">
        <v>124</v>
      </c>
      <c r="M271" t="s">
        <v>124</v>
      </c>
      <c r="N271">
        <f>7.928922*37950/33700</f>
        <v>8.9288602344213661</v>
      </c>
      <c r="O271">
        <v>11.04224</v>
      </c>
      <c r="Q271">
        <v>16.008955</v>
      </c>
      <c r="R271">
        <v>11.520415</v>
      </c>
      <c r="S271">
        <v>18.525386999999998</v>
      </c>
      <c r="U271" t="s">
        <v>124</v>
      </c>
      <c r="AD271">
        <f t="shared" si="12"/>
        <v>0.74299999999999999</v>
      </c>
    </row>
    <row r="272" spans="5:47" x14ac:dyDescent="0.45">
      <c r="E272" t="s">
        <v>125</v>
      </c>
      <c r="M272" t="s">
        <v>125</v>
      </c>
      <c r="N272">
        <f>12.318313*37950/33700</f>
        <v>13.871809446587537</v>
      </c>
      <c r="O272">
        <v>17.466902000000001</v>
      </c>
      <c r="Q272">
        <v>24.896505000000001</v>
      </c>
      <c r="R272">
        <v>16.244858000000001</v>
      </c>
      <c r="S272">
        <v>27.570592999999999</v>
      </c>
      <c r="U272" t="s">
        <v>125</v>
      </c>
      <c r="AD272">
        <f t="shared" si="12"/>
        <v>0.74299999999999999</v>
      </c>
    </row>
    <row r="273" spans="5:47" x14ac:dyDescent="0.45">
      <c r="E273" t="s">
        <v>118</v>
      </c>
      <c r="M273" t="s">
        <v>118</v>
      </c>
      <c r="N273">
        <f>6.719234*37950/33700</f>
        <v>7.5666151424332346</v>
      </c>
      <c r="O273">
        <v>6.9238520000000001</v>
      </c>
      <c r="Q273">
        <v>9.8009000000000004</v>
      </c>
      <c r="R273">
        <v>6.9066599999999996</v>
      </c>
      <c r="S273">
        <v>11.118338</v>
      </c>
      <c r="U273" t="s">
        <v>118</v>
      </c>
      <c r="AD273">
        <f t="shared" si="12"/>
        <v>0.74299999999999999</v>
      </c>
    </row>
    <row r="274" spans="5:47" x14ac:dyDescent="0.45">
      <c r="E274" t="s">
        <v>138</v>
      </c>
      <c r="M274" t="s">
        <v>138</v>
      </c>
      <c r="N274">
        <f>6.719234*37950/33700</f>
        <v>7.5666151424332346</v>
      </c>
      <c r="O274">
        <v>6.9238520000000001</v>
      </c>
      <c r="Q274">
        <v>9.8009000000000004</v>
      </c>
      <c r="R274">
        <v>6.9066599999999996</v>
      </c>
      <c r="S274">
        <v>11.118338</v>
      </c>
      <c r="U274" t="s">
        <v>138</v>
      </c>
      <c r="AD274">
        <f t="shared" si="12"/>
        <v>0.74299999999999999</v>
      </c>
    </row>
    <row r="277" spans="5:47" x14ac:dyDescent="0.45">
      <c r="E277" t="s">
        <v>538</v>
      </c>
      <c r="F277" t="s">
        <v>42</v>
      </c>
      <c r="G277" t="s">
        <v>43</v>
      </c>
      <c r="H277" t="s">
        <v>427</v>
      </c>
      <c r="I277" t="s">
        <v>44</v>
      </c>
      <c r="J277" t="s">
        <v>45</v>
      </c>
      <c r="K277" t="s">
        <v>46</v>
      </c>
      <c r="M277" t="s">
        <v>537</v>
      </c>
      <c r="N277" t="s">
        <v>42</v>
      </c>
      <c r="O277" t="s">
        <v>43</v>
      </c>
      <c r="P277" t="s">
        <v>427</v>
      </c>
      <c r="Q277" t="s">
        <v>44</v>
      </c>
      <c r="R277" t="s">
        <v>45</v>
      </c>
      <c r="S277" t="s">
        <v>46</v>
      </c>
      <c r="U277" t="s">
        <v>539</v>
      </c>
      <c r="V277" t="s">
        <v>42</v>
      </c>
      <c r="W277" t="s">
        <v>43</v>
      </c>
      <c r="X277" t="s">
        <v>427</v>
      </c>
      <c r="Y277" t="s">
        <v>44</v>
      </c>
      <c r="Z277" t="s">
        <v>45</v>
      </c>
      <c r="AA277" t="s">
        <v>46</v>
      </c>
      <c r="AD277" t="s">
        <v>234</v>
      </c>
      <c r="AF277" t="s">
        <v>164</v>
      </c>
      <c r="AG277" t="s">
        <v>165</v>
      </c>
      <c r="AH277" t="s">
        <v>166</v>
      </c>
      <c r="AI277" t="s">
        <v>167</v>
      </c>
      <c r="AJ277" t="s">
        <v>168</v>
      </c>
      <c r="AK277" t="s">
        <v>169</v>
      </c>
      <c r="AL277" t="s">
        <v>418</v>
      </c>
      <c r="AM277" t="s">
        <v>419</v>
      </c>
      <c r="AN277" t="s">
        <v>420</v>
      </c>
      <c r="AP277" t="s">
        <v>173</v>
      </c>
      <c r="AQ277" t="s">
        <v>174</v>
      </c>
      <c r="AR277" t="s">
        <v>176</v>
      </c>
      <c r="AS277" t="s">
        <v>175</v>
      </c>
      <c r="AT277" t="s">
        <v>416</v>
      </c>
      <c r="AU277" t="s">
        <v>417</v>
      </c>
    </row>
    <row r="278" spans="5:47" x14ac:dyDescent="0.45">
      <c r="E278" t="s">
        <v>57</v>
      </c>
      <c r="F278">
        <v>30377.671999999999</v>
      </c>
      <c r="G278">
        <v>34672.859000000004</v>
      </c>
      <c r="H278">
        <v>34823.853000000003</v>
      </c>
      <c r="I278">
        <f ca="1">OFFSET(AP278,0,MATCH(Dashboard!$E$19,Lists!$AH$6:$AH$7,0)-1)</f>
        <v>42253.284</v>
      </c>
      <c r="J278">
        <v>73033.05799999999</v>
      </c>
      <c r="K278">
        <f>INDEX(AF278:AH278,0,MATCH(Dashboard!$E$15,Lists!$AF$6:$AF$8,0))</f>
        <v>48336.395000000004</v>
      </c>
      <c r="M278" t="s">
        <v>57</v>
      </c>
      <c r="N278">
        <v>29.183087840178562</v>
      </c>
      <c r="P278">
        <v>49.57600759409231</v>
      </c>
      <c r="Q278">
        <f ca="1">OFFSET(AR278,0,MATCH(Dashboard!$E$19,Lists!$AH$6:$AH$7,0)-1)</f>
        <v>54.717952099999998</v>
      </c>
      <c r="S278">
        <f>INDEX(AF278:AN278,0,MATCH(Dashboard!$E$15,Lists!$AF$6:$AF$8,0)+3)</f>
        <v>91.6579804</v>
      </c>
      <c r="U278" t="s">
        <v>57</v>
      </c>
      <c r="AD278">
        <f t="shared" ref="AD278:AD287" si="17">$AG$14</f>
        <v>0.74299999999999999</v>
      </c>
      <c r="AF278">
        <v>48336.395000000004</v>
      </c>
      <c r="AG278">
        <v>57505.862999999998</v>
      </c>
      <c r="AI278">
        <v>91.6579804</v>
      </c>
      <c r="AJ278">
        <v>88.981555599999993</v>
      </c>
      <c r="AP278">
        <v>38308.624000000003</v>
      </c>
      <c r="AQ278">
        <v>42253.284</v>
      </c>
      <c r="AR278">
        <v>44.034588499999998</v>
      </c>
      <c r="AS278">
        <v>54.717952099999998</v>
      </c>
    </row>
    <row r="279" spans="5:47" x14ac:dyDescent="0.45">
      <c r="E279" t="s">
        <v>58</v>
      </c>
      <c r="F279">
        <v>28554.724000000002</v>
      </c>
      <c r="G279">
        <v>32580.920999999995</v>
      </c>
      <c r="H279">
        <v>33373.275999999998</v>
      </c>
      <c r="I279">
        <f ca="1">OFFSET(AP279,0,MATCH(Dashboard!$E$19,Lists!$AH$6:$AH$7,0)-1)</f>
        <v>41920.174000000006</v>
      </c>
      <c r="J279">
        <v>72197.577999999994</v>
      </c>
      <c r="K279">
        <f>INDEX(AF279:AH279,0,MATCH(Dashboard!$E$15,Lists!$AF$6:$AF$8,0))</f>
        <v>48562.218000000001</v>
      </c>
      <c r="M279" t="s">
        <v>58</v>
      </c>
      <c r="N279">
        <v>29.183087840178562</v>
      </c>
      <c r="P279">
        <v>49.57600759409231</v>
      </c>
      <c r="Q279">
        <f ca="1">OFFSET(AR279,0,MATCH(Dashboard!$E$19,Lists!$AH$6:$AH$7,0)-1)</f>
        <v>56.62722939999999</v>
      </c>
      <c r="S279">
        <f>INDEX(AF279:AN279,0,MATCH(Dashboard!$E$15,Lists!$AF$6:$AF$8,0)+3)</f>
        <v>88.888886099999993</v>
      </c>
      <c r="U279" t="s">
        <v>58</v>
      </c>
      <c r="AD279">
        <f t="shared" si="17"/>
        <v>0.74299999999999999</v>
      </c>
      <c r="AF279">
        <v>48562.218000000001</v>
      </c>
      <c r="AG279">
        <v>58159.71</v>
      </c>
      <c r="AI279">
        <v>88.888886099999993</v>
      </c>
      <c r="AJ279">
        <v>86.293344899999994</v>
      </c>
      <c r="AP279">
        <v>37875.995999999999</v>
      </c>
      <c r="AQ279">
        <v>41920.174000000006</v>
      </c>
      <c r="AR279">
        <v>47.180471099999998</v>
      </c>
      <c r="AS279">
        <v>56.62722939999999</v>
      </c>
    </row>
    <row r="280" spans="5:47" x14ac:dyDescent="0.45">
      <c r="E280" t="s">
        <v>56</v>
      </c>
      <c r="F280">
        <v>27624.304</v>
      </c>
      <c r="G280">
        <v>31704.109</v>
      </c>
      <c r="H280">
        <v>32492.423999999999</v>
      </c>
      <c r="I280">
        <f ca="1">OFFSET(AP280,0,MATCH(Dashboard!$E$19,Lists!$AH$6:$AH$7,0)-1)</f>
        <v>38156.967000000004</v>
      </c>
      <c r="J280">
        <v>0</v>
      </c>
      <c r="K280">
        <f>INDEX(AF280:AH280,0,MATCH(Dashboard!$E$15,Lists!$AF$6:$AF$8,0))</f>
        <v>48916.634000000005</v>
      </c>
      <c r="M280" t="s">
        <v>56</v>
      </c>
      <c r="N280">
        <v>25.790810458433061</v>
      </c>
      <c r="P280">
        <v>43.108677905164448</v>
      </c>
      <c r="Q280">
        <f ca="1">OFFSET(AR280,0,MATCH(Dashboard!$E$19,Lists!$AH$6:$AH$7,0)-1)</f>
        <v>51.324544600000003</v>
      </c>
      <c r="R280">
        <v>55.688559021229516</v>
      </c>
      <c r="S280">
        <f>INDEX(AF280:AN280,0,MATCH(Dashboard!$E$15,Lists!$AF$6:$AF$8,0)+3)</f>
        <v>85.361478300000002</v>
      </c>
      <c r="U280" t="s">
        <v>56</v>
      </c>
      <c r="AD280">
        <f t="shared" si="17"/>
        <v>0.74299999999999999</v>
      </c>
      <c r="AF280">
        <v>48916.634000000005</v>
      </c>
      <c r="AG280">
        <v>58910.614000000001</v>
      </c>
      <c r="AI280">
        <v>85.361478300000002</v>
      </c>
      <c r="AJ280">
        <v>82.868919699999992</v>
      </c>
      <c r="AP280">
        <v>33928.176999999996</v>
      </c>
      <c r="AQ280">
        <v>38156.967000000004</v>
      </c>
      <c r="AR280">
        <v>41.400928800000003</v>
      </c>
      <c r="AS280">
        <v>51.324544600000003</v>
      </c>
    </row>
    <row r="281" spans="5:47" x14ac:dyDescent="0.45">
      <c r="E281" t="s">
        <v>59</v>
      </c>
      <c r="F281">
        <v>36548.29</v>
      </c>
      <c r="G281">
        <v>42493.262999999999</v>
      </c>
      <c r="H281">
        <v>41645.629999999997</v>
      </c>
      <c r="I281">
        <f ca="1">OFFSET(AP281,0,MATCH(Dashboard!$E$19,Lists!$AH$6:$AH$7,0)-1)</f>
        <v>51292.648000000001</v>
      </c>
      <c r="J281">
        <v>0</v>
      </c>
      <c r="K281">
        <f>INDEX(AF281:AH281,0,MATCH(Dashboard!$E$15,Lists!$AF$6:$AF$8,0))</f>
        <v>59004.62</v>
      </c>
      <c r="M281" t="s">
        <v>59</v>
      </c>
      <c r="N281">
        <v>20.624070430210935</v>
      </c>
      <c r="Q281">
        <f ca="1">OFFSET(AR281,0,MATCH(Dashboard!$E$19,Lists!$AH$6:$AH$7,0)-1)</f>
        <v>38.230821299999995</v>
      </c>
      <c r="S281">
        <f>INDEX(AF281:AN281,0,MATCH(Dashboard!$E$15,Lists!$AF$6:$AF$8,0)+3)</f>
        <v>68.818675099999993</v>
      </c>
      <c r="U281" t="s">
        <v>59</v>
      </c>
      <c r="AD281">
        <f t="shared" si="17"/>
        <v>0.74299999999999999</v>
      </c>
      <c r="AF281">
        <v>59004.62</v>
      </c>
      <c r="AG281">
        <v>71401.214999999997</v>
      </c>
      <c r="AI281">
        <v>68.818675099999993</v>
      </c>
      <c r="AJ281">
        <v>66.809176699999995</v>
      </c>
      <c r="AP281">
        <v>46077.9</v>
      </c>
      <c r="AQ281">
        <v>51292.648000000001</v>
      </c>
      <c r="AR281">
        <v>29.632245299999997</v>
      </c>
      <c r="AS281">
        <v>38.230821299999995</v>
      </c>
    </row>
    <row r="282" spans="5:47" x14ac:dyDescent="0.45">
      <c r="E282" t="s">
        <v>60</v>
      </c>
      <c r="F282">
        <v>38574.451000000001</v>
      </c>
      <c r="G282">
        <v>44499.13</v>
      </c>
      <c r="H282">
        <v>44655.048000000003</v>
      </c>
      <c r="I282">
        <f ca="1">OFFSET(AP282,0,MATCH(Dashboard!$E$19,Lists!$AH$6:$AH$7,0)-1)</f>
        <v>0</v>
      </c>
      <c r="J282">
        <v>0</v>
      </c>
      <c r="K282">
        <f>INDEX(AF282:AH282,0,MATCH(Dashboard!$E$15,Lists!$AF$6:$AF$8,0))</f>
        <v>0</v>
      </c>
      <c r="M282" t="s">
        <v>60</v>
      </c>
      <c r="N282">
        <v>20.656198920057243</v>
      </c>
      <c r="Q282">
        <f ca="1">OFFSET(AR282,0,MATCH(Dashboard!$E$19,Lists!$AH$6:$AH$7,0)-1)</f>
        <v>0</v>
      </c>
      <c r="S282">
        <f>INDEX(AF282:AN282,0,MATCH(Dashboard!$E$15,Lists!$AF$6:$AF$8,0)+3)</f>
        <v>0</v>
      </c>
      <c r="U282" t="s">
        <v>60</v>
      </c>
      <c r="AD282">
        <f t="shared" si="17"/>
        <v>0.74299999999999999</v>
      </c>
      <c r="AF282">
        <v>0</v>
      </c>
      <c r="AG282">
        <v>0</v>
      </c>
      <c r="AI282">
        <v>0</v>
      </c>
      <c r="AJ282">
        <v>0</v>
      </c>
      <c r="AP282">
        <v>0</v>
      </c>
      <c r="AQ282">
        <v>0</v>
      </c>
      <c r="AR282">
        <v>0</v>
      </c>
      <c r="AS282">
        <v>0</v>
      </c>
    </row>
    <row r="283" spans="5:47" x14ac:dyDescent="0.45">
      <c r="E283" t="s">
        <v>119</v>
      </c>
      <c r="F283">
        <v>30377.671999999999</v>
      </c>
      <c r="G283">
        <v>34672.859000000004</v>
      </c>
      <c r="H283">
        <v>34823.853000000003</v>
      </c>
      <c r="I283">
        <f ca="1">OFFSET(AP283,0,MATCH(Dashboard!$E$19,Lists!$AH$6:$AH$7,0)-1)</f>
        <v>42253.284</v>
      </c>
      <c r="J283">
        <v>73033.05799999999</v>
      </c>
      <c r="K283">
        <f>INDEX(AF283:AH283,0,MATCH(Dashboard!$E$15,Lists!$AF$6:$AF$8,0))</f>
        <v>48336.395000000004</v>
      </c>
      <c r="M283" t="s">
        <v>119</v>
      </c>
      <c r="N283">
        <v>23.749350910970023</v>
      </c>
      <c r="P283">
        <v>41.295764616827604</v>
      </c>
      <c r="Q283">
        <f ca="1">OFFSET(AR283,0,MATCH(Dashboard!$E$19,Lists!$AH$6:$AH$7,0)-1)</f>
        <v>54.717952099999998</v>
      </c>
      <c r="R283">
        <v>67.000000000000014</v>
      </c>
      <c r="S283">
        <f>INDEX(AF283:AN283,0,MATCH(Dashboard!$E$15,Lists!$AF$6:$AF$8,0)+3)</f>
        <v>91.6579804</v>
      </c>
      <c r="U283" t="s">
        <v>119</v>
      </c>
      <c r="AD283">
        <f t="shared" si="17"/>
        <v>0.74299999999999999</v>
      </c>
      <c r="AF283">
        <v>48336.395000000004</v>
      </c>
      <c r="AG283">
        <v>57505.862999999998</v>
      </c>
      <c r="AI283">
        <v>91.6579804</v>
      </c>
      <c r="AJ283">
        <v>88.981555599999993</v>
      </c>
      <c r="AP283">
        <v>38308.624000000003</v>
      </c>
      <c r="AQ283">
        <v>42253.284</v>
      </c>
      <c r="AR283">
        <v>44.034588499999998</v>
      </c>
      <c r="AS283">
        <v>54.717952099999998</v>
      </c>
    </row>
    <row r="284" spans="5:47" x14ac:dyDescent="0.45">
      <c r="E284" t="s">
        <v>120</v>
      </c>
      <c r="F284">
        <v>28554.724000000002</v>
      </c>
      <c r="G284">
        <v>32580.920999999995</v>
      </c>
      <c r="H284">
        <v>33373.275999999998</v>
      </c>
      <c r="I284">
        <f ca="1">OFFSET(AP284,0,MATCH(Dashboard!$E$19,Lists!$AH$6:$AH$7,0)-1)</f>
        <v>41920.174000000006</v>
      </c>
      <c r="J284">
        <v>72197.577999999994</v>
      </c>
      <c r="K284">
        <f>INDEX(AF284:AH284,0,MATCH(Dashboard!$E$15,Lists!$AF$6:$AF$8,0))</f>
        <v>48562.218000000001</v>
      </c>
      <c r="M284" t="s">
        <v>120</v>
      </c>
      <c r="N284">
        <v>23.749350910970023</v>
      </c>
      <c r="P284">
        <v>41.295764616827604</v>
      </c>
      <c r="Q284">
        <f ca="1">OFFSET(AR284,0,MATCH(Dashboard!$E$19,Lists!$AH$6:$AH$7,0)-1)</f>
        <v>56.62722939999999</v>
      </c>
      <c r="R284">
        <v>67.566365119383065</v>
      </c>
      <c r="S284">
        <f>INDEX(AF284:AN284,0,MATCH(Dashboard!$E$15,Lists!$AF$6:$AF$8,0)+3)</f>
        <v>88.888886099999993</v>
      </c>
      <c r="U284" t="s">
        <v>120</v>
      </c>
      <c r="AD284">
        <f t="shared" si="17"/>
        <v>0.74299999999999999</v>
      </c>
      <c r="AF284">
        <v>48562.218000000001</v>
      </c>
      <c r="AG284">
        <v>58159.71</v>
      </c>
      <c r="AI284">
        <v>88.888886099999993</v>
      </c>
      <c r="AJ284">
        <v>86.293344899999994</v>
      </c>
      <c r="AP284">
        <v>37875.995999999999</v>
      </c>
      <c r="AQ284">
        <v>41920.174000000006</v>
      </c>
      <c r="AR284">
        <v>47.180471099999998</v>
      </c>
      <c r="AS284">
        <v>56.62722939999999</v>
      </c>
    </row>
    <row r="285" spans="5:47" x14ac:dyDescent="0.45">
      <c r="E285" t="s">
        <v>121</v>
      </c>
      <c r="F285">
        <v>27624.304</v>
      </c>
      <c r="G285">
        <v>31704.109</v>
      </c>
      <c r="H285">
        <v>32492.423999999999</v>
      </c>
      <c r="I285">
        <f ca="1">OFFSET(AP285,0,MATCH(Dashboard!$E$19,Lists!$AH$6:$AH$7,0)-1)</f>
        <v>38156.967000000004</v>
      </c>
      <c r="J285">
        <v>0</v>
      </c>
      <c r="K285">
        <f>INDEX(AF285:AH285,0,MATCH(Dashboard!$E$15,Lists!$AF$6:$AF$8,0))</f>
        <v>48916.634000000005</v>
      </c>
      <c r="M285" t="s">
        <v>121</v>
      </c>
      <c r="N285">
        <v>22.807553127392548</v>
      </c>
      <c r="P285">
        <v>31.259065625328432</v>
      </c>
      <c r="Q285">
        <f ca="1">OFFSET(AR285,0,MATCH(Dashboard!$E$19,Lists!$AH$6:$AH$7,0)-1)</f>
        <v>51.324544600000003</v>
      </c>
      <c r="S285">
        <f>INDEX(AF285:AN285,0,MATCH(Dashboard!$E$15,Lists!$AF$6:$AF$8,0)+3)</f>
        <v>85.361478300000002</v>
      </c>
      <c r="U285" t="s">
        <v>121</v>
      </c>
      <c r="AD285">
        <f t="shared" si="17"/>
        <v>0.74299999999999999</v>
      </c>
      <c r="AF285">
        <v>48916.634000000005</v>
      </c>
      <c r="AG285">
        <v>58910.614000000001</v>
      </c>
      <c r="AI285">
        <v>85.361478300000002</v>
      </c>
      <c r="AJ285">
        <v>82.868919699999992</v>
      </c>
      <c r="AP285">
        <v>33928.176999999996</v>
      </c>
      <c r="AQ285">
        <v>38156.967000000004</v>
      </c>
      <c r="AR285">
        <v>41.400928800000003</v>
      </c>
      <c r="AS285">
        <v>51.324544600000003</v>
      </c>
    </row>
    <row r="286" spans="5:47" x14ac:dyDescent="0.45">
      <c r="E286" t="s">
        <v>122</v>
      </c>
      <c r="F286">
        <v>36548.29</v>
      </c>
      <c r="G286">
        <v>42493.262999999999</v>
      </c>
      <c r="H286">
        <v>41645.629999999997</v>
      </c>
      <c r="I286">
        <f ca="1">OFFSET(AP286,0,MATCH(Dashboard!$E$19,Lists!$AH$6:$AH$7,0)-1)</f>
        <v>51292.648000000001</v>
      </c>
      <c r="J286">
        <v>0</v>
      </c>
      <c r="K286">
        <f>INDEX(AF286:AH286,0,MATCH(Dashboard!$E$15,Lists!$AF$6:$AF$8,0))</f>
        <v>59004.62</v>
      </c>
      <c r="M286" t="s">
        <v>122</v>
      </c>
      <c r="N286">
        <v>17.981835861843951</v>
      </c>
      <c r="Q286">
        <f ca="1">OFFSET(AR286,0,MATCH(Dashboard!$E$19,Lists!$AH$6:$AH$7,0)-1)</f>
        <v>38.230821299999995</v>
      </c>
      <c r="S286">
        <f>INDEX(AF286:AN286,0,MATCH(Dashboard!$E$15,Lists!$AF$6:$AF$8,0)+3)</f>
        <v>68.818675099999993</v>
      </c>
      <c r="U286" t="s">
        <v>122</v>
      </c>
      <c r="AD286">
        <f t="shared" si="17"/>
        <v>0.74299999999999999</v>
      </c>
      <c r="AF286">
        <v>59004.62</v>
      </c>
      <c r="AG286">
        <v>71401.214999999997</v>
      </c>
      <c r="AI286">
        <v>68.818675099999993</v>
      </c>
      <c r="AJ286">
        <v>66.809176699999995</v>
      </c>
      <c r="AP286">
        <v>46077.9</v>
      </c>
      <c r="AQ286">
        <v>51292.648000000001</v>
      </c>
      <c r="AR286">
        <v>29.632245299999997</v>
      </c>
      <c r="AS286">
        <v>38.230821299999995</v>
      </c>
    </row>
    <row r="287" spans="5:47" x14ac:dyDescent="0.45">
      <c r="E287" t="s">
        <v>123</v>
      </c>
      <c r="F287">
        <v>38574.451000000001</v>
      </c>
      <c r="G287">
        <v>44499.13</v>
      </c>
      <c r="H287">
        <v>44655.048000000003</v>
      </c>
      <c r="I287">
        <f ca="1">OFFSET(AP287,0,MATCH(Dashboard!$E$19,Lists!$AH$6:$AH$7,0)-1)</f>
        <v>0</v>
      </c>
      <c r="J287">
        <v>0</v>
      </c>
      <c r="K287">
        <f>INDEX(AF287:AH287,0,MATCH(Dashboard!$E$15,Lists!$AF$6:$AF$8,0))</f>
        <v>0</v>
      </c>
      <c r="M287" t="s">
        <v>123</v>
      </c>
      <c r="Q287">
        <f ca="1">OFFSET(AR287,0,MATCH(Dashboard!$E$19,Lists!$AH$6:$AH$7,0)-1)</f>
        <v>0</v>
      </c>
      <c r="S287">
        <f>INDEX(AF287:AN287,0,MATCH(Dashboard!$E$15,Lists!$AF$6:$AF$8,0)+3)</f>
        <v>0</v>
      </c>
      <c r="U287" t="s">
        <v>123</v>
      </c>
      <c r="AD287">
        <f t="shared" si="17"/>
        <v>0.74299999999999999</v>
      </c>
      <c r="AF287">
        <v>0</v>
      </c>
      <c r="AG287">
        <v>0</v>
      </c>
      <c r="AI287">
        <v>0</v>
      </c>
      <c r="AJ287">
        <v>0</v>
      </c>
      <c r="AP287">
        <v>0</v>
      </c>
      <c r="AQ287">
        <v>0</v>
      </c>
      <c r="AR287">
        <v>0</v>
      </c>
      <c r="AS287">
        <v>0</v>
      </c>
    </row>
    <row r="288" spans="5:47" x14ac:dyDescent="0.45">
      <c r="E288" t="s">
        <v>115</v>
      </c>
      <c r="M288" t="s">
        <v>115</v>
      </c>
      <c r="U288" t="s">
        <v>115</v>
      </c>
    </row>
    <row r="289" spans="5:47" x14ac:dyDescent="0.45">
      <c r="E289" t="s">
        <v>116</v>
      </c>
      <c r="M289" t="s">
        <v>116</v>
      </c>
      <c r="U289" t="s">
        <v>116</v>
      </c>
    </row>
    <row r="290" spans="5:47" x14ac:dyDescent="0.45">
      <c r="E290" t="s">
        <v>117</v>
      </c>
      <c r="M290" t="s">
        <v>117</v>
      </c>
      <c r="U290" t="s">
        <v>117</v>
      </c>
    </row>
    <row r="291" spans="5:47" x14ac:dyDescent="0.45">
      <c r="E291" t="s">
        <v>124</v>
      </c>
      <c r="M291" t="s">
        <v>124</v>
      </c>
      <c r="U291" t="s">
        <v>124</v>
      </c>
    </row>
    <row r="292" spans="5:47" x14ac:dyDescent="0.45">
      <c r="E292" t="s">
        <v>125</v>
      </c>
      <c r="M292" t="s">
        <v>125</v>
      </c>
      <c r="U292" t="s">
        <v>125</v>
      </c>
    </row>
    <row r="293" spans="5:47" x14ac:dyDescent="0.45">
      <c r="E293" t="s">
        <v>118</v>
      </c>
      <c r="M293" t="s">
        <v>118</v>
      </c>
      <c r="U293" t="s">
        <v>118</v>
      </c>
    </row>
    <row r="294" spans="5:47" x14ac:dyDescent="0.45">
      <c r="E294" t="s">
        <v>138</v>
      </c>
      <c r="M294" t="s">
        <v>138</v>
      </c>
      <c r="U294" t="s">
        <v>138</v>
      </c>
    </row>
    <row r="297" spans="5:47" x14ac:dyDescent="0.45">
      <c r="E297" t="s">
        <v>533</v>
      </c>
      <c r="F297" t="s">
        <v>42</v>
      </c>
      <c r="G297" t="s">
        <v>43</v>
      </c>
      <c r="H297" t="s">
        <v>427</v>
      </c>
      <c r="I297" t="s">
        <v>44</v>
      </c>
      <c r="J297" t="s">
        <v>45</v>
      </c>
      <c r="K297" t="s">
        <v>46</v>
      </c>
      <c r="M297" t="s">
        <v>534</v>
      </c>
      <c r="N297" t="s">
        <v>42</v>
      </c>
      <c r="O297" t="s">
        <v>43</v>
      </c>
      <c r="P297" t="s">
        <v>427</v>
      </c>
      <c r="Q297" t="s">
        <v>44</v>
      </c>
      <c r="R297" t="s">
        <v>45</v>
      </c>
      <c r="S297" t="s">
        <v>46</v>
      </c>
      <c r="U297" t="s">
        <v>535</v>
      </c>
      <c r="V297" t="s">
        <v>42</v>
      </c>
      <c r="W297" t="s">
        <v>43</v>
      </c>
      <c r="X297" t="s">
        <v>427</v>
      </c>
      <c r="Y297" t="s">
        <v>44</v>
      </c>
      <c r="Z297" t="s">
        <v>45</v>
      </c>
      <c r="AA297" t="s">
        <v>46</v>
      </c>
      <c r="AD297" t="s">
        <v>234</v>
      </c>
      <c r="AF297" t="s">
        <v>164</v>
      </c>
      <c r="AG297" t="s">
        <v>165</v>
      </c>
      <c r="AH297" t="s">
        <v>166</v>
      </c>
      <c r="AI297" t="s">
        <v>167</v>
      </c>
      <c r="AJ297" t="s">
        <v>168</v>
      </c>
      <c r="AK297" t="s">
        <v>169</v>
      </c>
      <c r="AL297" t="s">
        <v>418</v>
      </c>
      <c r="AM297" t="s">
        <v>419</v>
      </c>
      <c r="AN297" t="s">
        <v>420</v>
      </c>
      <c r="AP297" t="s">
        <v>173</v>
      </c>
      <c r="AQ297" t="s">
        <v>174</v>
      </c>
      <c r="AR297" t="s">
        <v>176</v>
      </c>
      <c r="AS297" t="s">
        <v>175</v>
      </c>
      <c r="AT297" t="s">
        <v>416</v>
      </c>
      <c r="AU297" t="s">
        <v>417</v>
      </c>
    </row>
    <row r="298" spans="5:47" x14ac:dyDescent="0.45">
      <c r="E298" t="s">
        <v>57</v>
      </c>
      <c r="F298">
        <v>18258.724342562698</v>
      </c>
      <c r="G298">
        <v>25428.046767537828</v>
      </c>
      <c r="H298">
        <v>22709.311763999038</v>
      </c>
      <c r="I298">
        <f ca="1">OFFSET(AP298,0,MATCH(Dashboard!$E$19,Lists!$AH$6:$AH$7,0)-1)</f>
        <v>0</v>
      </c>
      <c r="K298">
        <f>INDEX(AF298:AH298,0,MATCH(Dashboard!$E$15,Lists!$AF$6:$AF$8,0))</f>
        <v>0</v>
      </c>
      <c r="M298" t="s">
        <v>57</v>
      </c>
      <c r="N298">
        <v>31.614161891267543</v>
      </c>
      <c r="O298">
        <v>36.751532115727997</v>
      </c>
      <c r="P298">
        <v>52.928898805657866</v>
      </c>
      <c r="Q298" t="str">
        <f ca="1">OFFSET(AR298,0,MATCH(Dashboard!$E$19,Lists!$AH$6:$AH$7,0)-1)</f>
        <v/>
      </c>
      <c r="R298" t="s">
        <v>536</v>
      </c>
      <c r="S298" t="str">
        <f>INDEX(AF298:AN298,0,MATCH(Dashboard!$E$15,Lists!$AF$6:$AF$8,0)+3)</f>
        <v/>
      </c>
      <c r="U298" t="s">
        <v>57</v>
      </c>
      <c r="AD298">
        <f t="shared" ref="AD298:AD307" si="18">$AG$14</f>
        <v>0.74299999999999999</v>
      </c>
      <c r="AI298" t="s">
        <v>536</v>
      </c>
      <c r="AJ298" t="s">
        <v>536</v>
      </c>
      <c r="AK298" t="s">
        <v>536</v>
      </c>
      <c r="AR298" t="s">
        <v>536</v>
      </c>
      <c r="AS298" t="s">
        <v>536</v>
      </c>
    </row>
    <row r="299" spans="5:47" x14ac:dyDescent="0.45">
      <c r="E299" t="s">
        <v>58</v>
      </c>
      <c r="F299">
        <v>24109.949006346185</v>
      </c>
      <c r="G299">
        <v>21340</v>
      </c>
      <c r="H299">
        <v>25714.582594824529</v>
      </c>
      <c r="I299">
        <f ca="1">OFFSET(AP299,0,MATCH(Dashboard!$E$19,Lists!$AH$6:$AH$7,0)-1)</f>
        <v>0</v>
      </c>
      <c r="K299">
        <f>INDEX(AF299:AH299,0,MATCH(Dashboard!$E$15,Lists!$AF$6:$AF$8,0))</f>
        <v>29990</v>
      </c>
      <c r="M299" t="s">
        <v>58</v>
      </c>
      <c r="N299">
        <v>29.94658317594962</v>
      </c>
      <c r="O299">
        <v>34</v>
      </c>
      <c r="P299">
        <v>48.00965407513484</v>
      </c>
      <c r="Q299" t="str">
        <f ca="1">OFFSET(AR299,0,MATCH(Dashboard!$E$19,Lists!$AH$6:$AH$7,0)-1)</f>
        <v/>
      </c>
      <c r="R299" t="s">
        <v>536</v>
      </c>
      <c r="S299">
        <f>INDEX(AF299:AN299,0,MATCH(Dashboard!$E$15,Lists!$AF$6:$AF$8,0)+3)</f>
        <v>111.67699999999999</v>
      </c>
      <c r="U299" t="s">
        <v>58</v>
      </c>
      <c r="AD299">
        <f t="shared" si="18"/>
        <v>0.74299999999999999</v>
      </c>
      <c r="AF299">
        <v>29990</v>
      </c>
      <c r="AI299">
        <v>111.67699999999999</v>
      </c>
      <c r="AJ299" t="s">
        <v>536</v>
      </c>
      <c r="AK299" t="s">
        <v>536</v>
      </c>
      <c r="AP299">
        <v>33363.335769090241</v>
      </c>
      <c r="AR299">
        <v>79.221504765075849</v>
      </c>
      <c r="AS299" t="s">
        <v>536</v>
      </c>
    </row>
    <row r="300" spans="5:47" x14ac:dyDescent="0.45">
      <c r="E300" t="s">
        <v>56</v>
      </c>
      <c r="F300">
        <v>22857.887094127607</v>
      </c>
      <c r="H300">
        <v>23490</v>
      </c>
      <c r="I300">
        <f ca="1">OFFSET(AP300,0,MATCH(Dashboard!$E$19,Lists!$AH$6:$AH$7,0)-1)</f>
        <v>0</v>
      </c>
      <c r="J300">
        <v>58300</v>
      </c>
      <c r="K300">
        <f>INDEX(AF300:AH300,0,MATCH(Dashboard!$E$15,Lists!$AF$6:$AF$8,0))</f>
        <v>38500</v>
      </c>
      <c r="M300" t="s">
        <v>56</v>
      </c>
      <c r="N300">
        <v>25.777452864913414</v>
      </c>
      <c r="P300">
        <v>48.698700000000002</v>
      </c>
      <c r="Q300" t="str">
        <f ca="1">OFFSET(AR300,0,MATCH(Dashboard!$E$19,Lists!$AH$6:$AH$7,0)-1)</f>
        <v/>
      </c>
      <c r="R300">
        <v>57</v>
      </c>
      <c r="S300">
        <f>INDEX(AF300:AN300,0,MATCH(Dashboard!$E$15,Lists!$AF$6:$AF$8,0)+3)</f>
        <v>112.32339999999999</v>
      </c>
      <c r="U300" t="s">
        <v>56</v>
      </c>
      <c r="AD300">
        <f t="shared" si="18"/>
        <v>0.74299999999999999</v>
      </c>
      <c r="AF300">
        <v>38500</v>
      </c>
      <c r="AG300">
        <v>37190</v>
      </c>
      <c r="AI300">
        <v>112.32339999999999</v>
      </c>
      <c r="AJ300">
        <v>120</v>
      </c>
      <c r="AK300" t="s">
        <v>536</v>
      </c>
      <c r="AP300">
        <v>34995</v>
      </c>
      <c r="AR300">
        <v>46.566530129816634</v>
      </c>
      <c r="AS300" t="s">
        <v>536</v>
      </c>
    </row>
    <row r="301" spans="5:47" x14ac:dyDescent="0.45">
      <c r="E301" t="s">
        <v>59</v>
      </c>
      <c r="F301">
        <v>27069.181636912323</v>
      </c>
      <c r="G301">
        <v>31329.561567164179</v>
      </c>
      <c r="H301">
        <v>30734.598184000417</v>
      </c>
      <c r="I301">
        <f ca="1">OFFSET(AP301,0,MATCH(Dashboard!$E$19,Lists!$AH$6:$AH$7,0)-1)</f>
        <v>0</v>
      </c>
      <c r="K301">
        <f>INDEX(AF301:AH301,0,MATCH(Dashboard!$E$15,Lists!$AF$6:$AF$8,0))</f>
        <v>0</v>
      </c>
      <c r="M301" t="s">
        <v>59</v>
      </c>
      <c r="N301">
        <v>25.396373611799365</v>
      </c>
      <c r="O301">
        <v>26.767939186095536</v>
      </c>
      <c r="P301">
        <v>37.495728552257816</v>
      </c>
      <c r="Q301" t="str">
        <f ca="1">OFFSET(AR301,0,MATCH(Dashboard!$E$19,Lists!$AH$6:$AH$7,0)-1)</f>
        <v/>
      </c>
      <c r="R301" t="s">
        <v>536</v>
      </c>
      <c r="S301" t="str">
        <f>INDEX(AF301:AN301,0,MATCH(Dashboard!$E$15,Lists!$AF$6:$AF$8,0)+3)</f>
        <v/>
      </c>
      <c r="U301" t="s">
        <v>59</v>
      </c>
      <c r="AD301">
        <f t="shared" si="18"/>
        <v>0.74299999999999999</v>
      </c>
      <c r="AI301" t="s">
        <v>536</v>
      </c>
      <c r="AJ301" t="s">
        <v>536</v>
      </c>
      <c r="AK301" t="s">
        <v>536</v>
      </c>
      <c r="AP301">
        <v>35795</v>
      </c>
      <c r="AR301">
        <v>36.958162045254063</v>
      </c>
      <c r="AS301" t="s">
        <v>536</v>
      </c>
    </row>
    <row r="302" spans="5:47" x14ac:dyDescent="0.45">
      <c r="E302" t="s">
        <v>60</v>
      </c>
      <c r="F302">
        <v>28336.6323081542</v>
      </c>
      <c r="G302">
        <v>45953.564988933074</v>
      </c>
      <c r="H302">
        <v>30125</v>
      </c>
      <c r="I302">
        <f ca="1">OFFSET(AP302,0,MATCH(Dashboard!$E$19,Lists!$AH$6:$AH$7,0)-1)</f>
        <v>0</v>
      </c>
      <c r="K302">
        <f>INDEX(AF302:AH302,0,MATCH(Dashboard!$E$15,Lists!$AF$6:$AF$8,0))</f>
        <v>0</v>
      </c>
      <c r="M302" t="s">
        <v>60</v>
      </c>
      <c r="N302">
        <v>20.231880136177768</v>
      </c>
      <c r="O302">
        <v>24.357951642982261</v>
      </c>
      <c r="P302">
        <v>19.864100000000001</v>
      </c>
      <c r="Q302" t="str">
        <f ca="1">OFFSET(AR302,0,MATCH(Dashboard!$E$19,Lists!$AH$6:$AH$7,0)-1)</f>
        <v/>
      </c>
      <c r="R302" t="s">
        <v>536</v>
      </c>
      <c r="S302" t="str">
        <f>INDEX(AF302:AN302,0,MATCH(Dashboard!$E$15,Lists!$AF$6:$AF$8,0)+3)</f>
        <v/>
      </c>
      <c r="U302" t="s">
        <v>60</v>
      </c>
      <c r="AD302">
        <f t="shared" si="18"/>
        <v>0.74299999999999999</v>
      </c>
      <c r="AI302" t="s">
        <v>536</v>
      </c>
      <c r="AJ302" t="s">
        <v>536</v>
      </c>
      <c r="AK302" t="s">
        <v>536</v>
      </c>
      <c r="AR302" t="s">
        <v>536</v>
      </c>
      <c r="AS302" t="s">
        <v>536</v>
      </c>
    </row>
    <row r="303" spans="5:47" x14ac:dyDescent="0.45">
      <c r="E303" t="s">
        <v>119</v>
      </c>
      <c r="F303">
        <v>41596.348309064713</v>
      </c>
      <c r="G303">
        <v>35341.780551905387</v>
      </c>
      <c r="H303">
        <v>60899.819277108436</v>
      </c>
      <c r="I303">
        <f ca="1">OFFSET(AP303,0,MATCH(Dashboard!$E$19,Lists!$AH$6:$AH$7,0)-1)</f>
        <v>33520</v>
      </c>
      <c r="J303">
        <v>58500</v>
      </c>
      <c r="K303">
        <f>INDEX(AF303:AH303,0,MATCH(Dashboard!$E$15,Lists!$AF$6:$AF$8,0))</f>
        <v>44450</v>
      </c>
      <c r="M303" t="s">
        <v>119</v>
      </c>
      <c r="N303">
        <v>26.983501360270104</v>
      </c>
      <c r="O303">
        <v>35.708336746672316</v>
      </c>
      <c r="P303">
        <v>28.110177260162896</v>
      </c>
      <c r="Q303">
        <f ca="1">OFFSET(AR303,0,MATCH(Dashboard!$E$19,Lists!$AH$6:$AH$7,0)-1)</f>
        <v>78.607074709755793</v>
      </c>
      <c r="R303">
        <v>67</v>
      </c>
      <c r="S303">
        <f>INDEX(AF303:AN303,0,MATCH(Dashboard!$E$15,Lists!$AF$6:$AF$8,0)+3)</f>
        <v>113.1242</v>
      </c>
      <c r="U303" t="s">
        <v>119</v>
      </c>
      <c r="AD303">
        <f t="shared" si="18"/>
        <v>0.74299999999999999</v>
      </c>
      <c r="AF303">
        <v>44450</v>
      </c>
      <c r="AI303">
        <v>113.1242</v>
      </c>
      <c r="AJ303" t="s">
        <v>536</v>
      </c>
      <c r="AK303" t="s">
        <v>536</v>
      </c>
      <c r="AP303">
        <v>66827.767015368721</v>
      </c>
      <c r="AQ303">
        <v>33520</v>
      </c>
      <c r="AR303">
        <v>37.62113367464022</v>
      </c>
      <c r="AS303">
        <v>78.607074709755793</v>
      </c>
    </row>
    <row r="304" spans="5:47" x14ac:dyDescent="0.45">
      <c r="E304" t="s">
        <v>120</v>
      </c>
      <c r="F304">
        <v>44085.446730157833</v>
      </c>
      <c r="G304">
        <v>60583.224137931036</v>
      </c>
      <c r="H304">
        <v>39264.047577092511</v>
      </c>
      <c r="I304">
        <f ca="1">OFFSET(AP304,0,MATCH(Dashboard!$E$19,Lists!$AH$6:$AH$7,0)-1)</f>
        <v>33400</v>
      </c>
      <c r="J304">
        <v>58490</v>
      </c>
      <c r="K304">
        <f>INDEX(AF304:AH304,0,MATCH(Dashboard!$E$15,Lists!$AF$6:$AF$8,0))</f>
        <v>0</v>
      </c>
      <c r="M304" t="s">
        <v>120</v>
      </c>
      <c r="N304">
        <v>25.137409648307859</v>
      </c>
      <c r="O304">
        <v>30.45177451789532</v>
      </c>
      <c r="P304">
        <v>41.254700818685968</v>
      </c>
      <c r="Q304">
        <f ca="1">OFFSET(AR304,0,MATCH(Dashboard!$E$19,Lists!$AH$6:$AH$7,0)-1)</f>
        <v>76.271543896573576</v>
      </c>
      <c r="R304">
        <v>68</v>
      </c>
      <c r="S304" t="str">
        <f>INDEX(AF304:AN304,0,MATCH(Dashboard!$E$15,Lists!$AF$6:$AF$8,0)+3)</f>
        <v/>
      </c>
      <c r="U304" t="s">
        <v>120</v>
      </c>
      <c r="AD304">
        <f t="shared" si="18"/>
        <v>0.74299999999999999</v>
      </c>
      <c r="AG304">
        <v>35000</v>
      </c>
      <c r="AI304" t="s">
        <v>536</v>
      </c>
      <c r="AJ304">
        <v>122.62739999999999</v>
      </c>
      <c r="AK304" t="s">
        <v>536</v>
      </c>
      <c r="AP304">
        <v>63900</v>
      </c>
      <c r="AQ304">
        <v>33400</v>
      </c>
      <c r="AR304">
        <v>40.771629722896407</v>
      </c>
      <c r="AS304">
        <v>76.271543896573576</v>
      </c>
    </row>
    <row r="305" spans="5:45" x14ac:dyDescent="0.45">
      <c r="E305" t="s">
        <v>121</v>
      </c>
      <c r="F305">
        <v>34470.0231182149</v>
      </c>
      <c r="H305">
        <v>34500</v>
      </c>
      <c r="I305">
        <f ca="1">OFFSET(AP305,0,MATCH(Dashboard!$E$19,Lists!$AH$6:$AH$7,0)-1)</f>
        <v>0</v>
      </c>
      <c r="K305">
        <f>INDEX(AF305:AH305,0,MATCH(Dashboard!$E$15,Lists!$AF$6:$AF$8,0))</f>
        <v>36620</v>
      </c>
      <c r="M305" t="s">
        <v>121</v>
      </c>
      <c r="N305">
        <v>26.167146002946822</v>
      </c>
      <c r="P305">
        <v>42.061199999999999</v>
      </c>
      <c r="Q305" t="str">
        <f ca="1">OFFSET(AR305,0,MATCH(Dashboard!$E$19,Lists!$AH$6:$AH$7,0)-1)</f>
        <v/>
      </c>
      <c r="R305" t="s">
        <v>536</v>
      </c>
      <c r="S305">
        <f>INDEX(AF305:AN305,0,MATCH(Dashboard!$E$15,Lists!$AF$6:$AF$8,0)+3)</f>
        <v>119.09580000000001</v>
      </c>
      <c r="U305" t="s">
        <v>121</v>
      </c>
      <c r="AD305">
        <f t="shared" si="18"/>
        <v>0.74299999999999999</v>
      </c>
      <c r="AF305">
        <v>36620</v>
      </c>
      <c r="AI305">
        <v>119.09580000000001</v>
      </c>
      <c r="AJ305" t="s">
        <v>536</v>
      </c>
      <c r="AK305" t="s">
        <v>536</v>
      </c>
      <c r="AR305" t="s">
        <v>536</v>
      </c>
      <c r="AS305" t="s">
        <v>536</v>
      </c>
    </row>
    <row r="306" spans="5:45" x14ac:dyDescent="0.45">
      <c r="E306" t="s">
        <v>122</v>
      </c>
      <c r="F306">
        <v>46119.058295487426</v>
      </c>
      <c r="G306">
        <v>61058.039036847869</v>
      </c>
      <c r="H306">
        <v>43469.952843004074</v>
      </c>
      <c r="I306">
        <f ca="1">OFFSET(AP306,0,MATCH(Dashboard!$E$19,Lists!$AH$6:$AH$7,0)-1)</f>
        <v>0</v>
      </c>
      <c r="K306">
        <f>INDEX(AF306:AH306,0,MATCH(Dashboard!$E$15,Lists!$AF$6:$AF$8,0))</f>
        <v>73073.489890744691</v>
      </c>
      <c r="M306" t="s">
        <v>122</v>
      </c>
      <c r="N306">
        <v>22.34812622890523</v>
      </c>
      <c r="O306">
        <v>25.42499924581471</v>
      </c>
      <c r="P306">
        <v>30.363543562742677</v>
      </c>
      <c r="Q306" t="str">
        <f ca="1">OFFSET(AR306,0,MATCH(Dashboard!$E$19,Lists!$AH$6:$AH$7,0)-1)</f>
        <v/>
      </c>
      <c r="R306" t="s">
        <v>536</v>
      </c>
      <c r="S306">
        <f>INDEX(AF306:AN306,0,MATCH(Dashboard!$E$15,Lists!$AF$6:$AF$8,0)+3)</f>
        <v>74.657340519238545</v>
      </c>
      <c r="U306" t="s">
        <v>122</v>
      </c>
      <c r="AD306">
        <f t="shared" si="18"/>
        <v>0.74299999999999999</v>
      </c>
      <c r="AF306">
        <v>73073.489890744691</v>
      </c>
      <c r="AG306">
        <v>81000</v>
      </c>
      <c r="AI306">
        <v>74.657340519238545</v>
      </c>
      <c r="AJ306">
        <v>96.212199999999996</v>
      </c>
      <c r="AK306" t="s">
        <v>536</v>
      </c>
      <c r="AP306">
        <v>54560.927152317883</v>
      </c>
      <c r="AR306">
        <v>32.856460928259736</v>
      </c>
      <c r="AS306" t="s">
        <v>536</v>
      </c>
    </row>
    <row r="307" spans="5:45" x14ac:dyDescent="0.45">
      <c r="E307" t="s">
        <v>123</v>
      </c>
      <c r="M307" t="s">
        <v>123</v>
      </c>
      <c r="N307" t="s">
        <v>536</v>
      </c>
      <c r="O307" t="s">
        <v>536</v>
      </c>
      <c r="P307" t="s">
        <v>536</v>
      </c>
      <c r="Q307" t="str">
        <f ca="1">OFFSET(AR307,0,MATCH(Dashboard!$E$19,Lists!$AH$6:$AH$7,0)-1)</f>
        <v/>
      </c>
      <c r="R307" t="s">
        <v>536</v>
      </c>
      <c r="S307" t="str">
        <f>INDEX(AF307:AN307,0,MATCH(Dashboard!$E$15,Lists!$AF$6:$AF$8,0)+3)</f>
        <v/>
      </c>
      <c r="U307" t="s">
        <v>123</v>
      </c>
      <c r="AD307">
        <f t="shared" si="18"/>
        <v>0.74299999999999999</v>
      </c>
      <c r="AI307" t="s">
        <v>536</v>
      </c>
      <c r="AJ307" t="s">
        <v>536</v>
      </c>
      <c r="AK307" t="s">
        <v>536</v>
      </c>
      <c r="AR307" t="s">
        <v>536</v>
      </c>
      <c r="AS307" t="s">
        <v>536</v>
      </c>
    </row>
    <row r="308" spans="5:45" x14ac:dyDescent="0.45">
      <c r="E308" t="s">
        <v>115</v>
      </c>
      <c r="M308" t="s">
        <v>115</v>
      </c>
      <c r="U308" t="s">
        <v>115</v>
      </c>
    </row>
    <row r="309" spans="5:45" x14ac:dyDescent="0.45">
      <c r="E309" t="s">
        <v>116</v>
      </c>
      <c r="M309" t="s">
        <v>116</v>
      </c>
      <c r="U309" t="s">
        <v>116</v>
      </c>
    </row>
    <row r="310" spans="5:45" x14ac:dyDescent="0.45">
      <c r="E310" t="s">
        <v>117</v>
      </c>
      <c r="M310" t="s">
        <v>117</v>
      </c>
      <c r="U310" t="s">
        <v>117</v>
      </c>
    </row>
    <row r="311" spans="5:45" x14ac:dyDescent="0.45">
      <c r="E311" t="s">
        <v>124</v>
      </c>
      <c r="M311" t="s">
        <v>124</v>
      </c>
      <c r="U311" t="s">
        <v>124</v>
      </c>
    </row>
    <row r="312" spans="5:45" x14ac:dyDescent="0.45">
      <c r="E312" t="s">
        <v>125</v>
      </c>
      <c r="M312" t="s">
        <v>125</v>
      </c>
      <c r="U312" t="s">
        <v>125</v>
      </c>
    </row>
    <row r="313" spans="5:45" x14ac:dyDescent="0.45">
      <c r="E313" t="s">
        <v>118</v>
      </c>
      <c r="M313" t="s">
        <v>118</v>
      </c>
      <c r="U313" t="s">
        <v>118</v>
      </c>
    </row>
    <row r="314" spans="5:45" x14ac:dyDescent="0.45">
      <c r="E314" t="s">
        <v>138</v>
      </c>
      <c r="M314" t="s">
        <v>138</v>
      </c>
      <c r="U314" t="s">
        <v>138</v>
      </c>
    </row>
  </sheetData>
  <pageMargins left="0.7" right="0.7" top="0.75" bottom="0.75" header="0.3" footer="0.3"/>
  <pageSetup orientation="portrait" verticalDpi="0" r:id="rId1"/>
  <ignoredErrors>
    <ignoredError sqref="K78:K79" formulaRange="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20"/>
  <sheetViews>
    <sheetView workbookViewId="0"/>
  </sheetViews>
  <sheetFormatPr defaultRowHeight="14.25" x14ac:dyDescent="0.45"/>
  <cols>
    <col min="1" max="1" width="23.1328125" customWidth="1"/>
    <col min="3" max="3" width="14.73046875" bestFit="1" customWidth="1"/>
  </cols>
  <sheetData>
    <row r="1" spans="1:32" x14ac:dyDescent="0.45">
      <c r="A1" t="s">
        <v>9</v>
      </c>
      <c r="B1" s="6" t="str">
        <f>Dashboard!B20</f>
        <v>BEV</v>
      </c>
      <c r="C1" t="s">
        <v>61</v>
      </c>
      <c r="D1" s="6" t="str">
        <f>Dashboard!B3</f>
        <v>Class 8 Bus</v>
      </c>
      <c r="E1">
        <f>MATCH(D1,Lists!$T$6:$T$22,0)</f>
        <v>16</v>
      </c>
      <c r="F1" t="s">
        <v>193</v>
      </c>
      <c r="G1" s="27">
        <f>1-ISERROR(FIND("Luxury",D1))</f>
        <v>0</v>
      </c>
      <c r="I1" t="s">
        <v>228</v>
      </c>
      <c r="J1" s="27">
        <f>Dashboard!$H$4</f>
        <v>10</v>
      </c>
      <c r="L1" t="s">
        <v>241</v>
      </c>
      <c r="M1" s="27">
        <f>Dashboard!$H$3</f>
        <v>0</v>
      </c>
      <c r="O1" t="s">
        <v>261</v>
      </c>
      <c r="P1" s="6">
        <f ca="1">OFFSET($B$5,0,$M$1)</f>
        <v>487190.55933337501</v>
      </c>
      <c r="Q1" s="40" t="s">
        <v>262</v>
      </c>
      <c r="R1" s="6">
        <f ca="1">IF(Dashboard!$H$11=Lists!$N$9, 0, OFFSET($B$5,0,$J$1))</f>
        <v>201584.98650546934</v>
      </c>
      <c r="T1" t="s">
        <v>263</v>
      </c>
      <c r="U1" s="42">
        <f ca="1">R1*(1+Dashboard!$H$7)^-($J$1-$M$1)</f>
        <v>123755.69493054274</v>
      </c>
    </row>
    <row r="2" spans="1:32" x14ac:dyDescent="0.45">
      <c r="V2" s="35"/>
    </row>
    <row r="3" spans="1:32" x14ac:dyDescent="0.45">
      <c r="A3" t="s">
        <v>244</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row>
    <row r="4" spans="1:32" x14ac:dyDescent="0.45">
      <c r="A4" t="s">
        <v>15</v>
      </c>
      <c r="B4">
        <f ca="1">VMT!B5</f>
        <v>0</v>
      </c>
      <c r="C4">
        <f ca="1">VMT!C5</f>
        <v>74039.267379713696</v>
      </c>
      <c r="D4">
        <f ca="1">VMT!D5</f>
        <v>147518.30287940562</v>
      </c>
      <c r="E4">
        <f ca="1">VMT!E5</f>
        <v>219074.01428501093</v>
      </c>
      <c r="F4">
        <f ca="1">VMT!F5</f>
        <v>287549.48058274534</v>
      </c>
      <c r="G4">
        <f ca="1">VMT!G5</f>
        <v>348974.34851169318</v>
      </c>
      <c r="H4">
        <f ca="1">VMT!H5</f>
        <v>404074.58519622264</v>
      </c>
      <c r="I4">
        <f ca="1">VMT!I5</f>
        <v>453501.40832269721</v>
      </c>
      <c r="J4">
        <f ca="1">VMT!J5</f>
        <v>497838.98273935536</v>
      </c>
      <c r="K4">
        <f ca="1">VMT!K5</f>
        <v>537611.32457331277</v>
      </c>
      <c r="L4">
        <f ca="1">VMT!L5</f>
        <v>573288.49446294131</v>
      </c>
      <c r="M4">
        <f ca="1">VMT!M5</f>
        <v>605292.15310208767</v>
      </c>
      <c r="N4">
        <f ca="1">VMT!N5</f>
        <v>634236.7435002384</v>
      </c>
      <c r="O4">
        <f ca="1">VMT!O5</f>
        <v>660414.66655469651</v>
      </c>
      <c r="P4">
        <f ca="1">VMT!P5</f>
        <v>684090.37403642735</v>
      </c>
      <c r="Q4">
        <f ca="1">VMT!Q5</f>
        <v>705503.04010601551</v>
      </c>
      <c r="R4">
        <f ca="1">VMT!R5</f>
        <v>724868.97747289203</v>
      </c>
      <c r="S4">
        <f ca="1">VMT!S5</f>
        <v>742383.82260609313</v>
      </c>
      <c r="T4">
        <f ca="1">VMT!T5</f>
        <v>758140.804288371</v>
      </c>
      <c r="U4">
        <f ca="1">VMT!U5</f>
        <v>772316.34908179857</v>
      </c>
      <c r="V4">
        <f ca="1">VMT!V5</f>
        <v>785069.17663737538</v>
      </c>
      <c r="W4">
        <f ca="1">VMT!W5</f>
        <v>796542.07683502312</v>
      </c>
      <c r="X4">
        <f ca="1">VMT!X5</f>
        <v>806863.50856234424</v>
      </c>
      <c r="Y4">
        <f ca="1">VMT!Y5</f>
        <v>816149.03803322662</v>
      </c>
      <c r="Z4">
        <f ca="1">VMT!Z5</f>
        <v>824502.6327507497</v>
      </c>
      <c r="AA4">
        <f ca="1">VMT!AA5</f>
        <v>832017.82560253644</v>
      </c>
      <c r="AB4">
        <f ca="1">VMT!AB5</f>
        <v>838778.76212260418</v>
      </c>
      <c r="AC4">
        <f ca="1">VMT!AC5</f>
        <v>844861.14264561597</v>
      </c>
      <c r="AD4">
        <f ca="1">VMT!AD5</f>
        <v>850333.06990257278</v>
      </c>
      <c r="AE4">
        <f ca="1">VMT!AE5</f>
        <v>855255.81154824025</v>
      </c>
      <c r="AF4">
        <f ca="1">VMT!AF5</f>
        <v>859684.48615811917</v>
      </c>
    </row>
    <row r="5" spans="1:32" x14ac:dyDescent="0.45">
      <c r="A5" t="s">
        <v>242</v>
      </c>
      <c r="B5" s="6">
        <f ca="1">Vehicle!$A$14</f>
        <v>487190.55933337501</v>
      </c>
      <c r="C5" s="38">
        <f ca="1">MAX(IF(Dashboard!$H$11=Lists!$N$6, C9,   IF(OR(Dashboard!$H$11=Lists!$N$8, Dashboard!$B$4&gt;10), C11,   IF(Dashboard!$H$11=Lists!$N$7, C10,    IF(Dashboard!$H$11=Lists!$N$10, C13,    IF(Dashboard!$H$11=Lists!$N$11, C12,  0))))),    C25*IF(OR(Dashboard!$H$15="Battery only",Dashboard!$H$15="Vehicle + Battery"), 1, 0),  $C$23*IF(OR(Dashboard!$H$15="Vehicle only",Dashboard!$H$15="Vehicle + Battery"), 1, 0))</f>
        <v>445130.20741180587</v>
      </c>
      <c r="D5" s="38">
        <f ca="1">MAX(IF(Dashboard!$H$11=Lists!$N$6, D9,   IF(OR(Dashboard!$H$11=Lists!$N$8, Dashboard!$B$4&gt;10), D11,   IF(Dashboard!$H$11=Lists!$N$7, D10,    IF(Dashboard!$H$11=Lists!$N$10, D13,    IF(Dashboard!$H$11=Lists!$N$11, D12,  0))))),    D25*IF(OR(Dashboard!$H$15="Battery only",Dashboard!$H$15="Vehicle + Battery"), 1, 0),  $C$23*IF(OR(Dashboard!$H$15="Vehicle only",Dashboard!$H$15="Vehicle + Battery"), 1, 0))</f>
        <v>406728.90038919874</v>
      </c>
      <c r="E5" s="38">
        <f ca="1">MAX(IF(Dashboard!$H$11=Lists!$N$6, E9,   IF(OR(Dashboard!$H$11=Lists!$N$8, Dashboard!$B$4&gt;10), E11,   IF(Dashboard!$H$11=Lists!$N$7, E10,    IF(Dashboard!$H$11=Lists!$N$10, E13,    IF(Dashboard!$H$11=Lists!$N$11, E12,  0))))),    E25*IF(OR(Dashboard!$H$15="Battery only",Dashboard!$H$15="Vehicle + Battery"), 1, 0),  $C$23*IF(OR(Dashboard!$H$15="Vehicle only",Dashboard!$H$15="Vehicle + Battery"), 1, 0))</f>
        <v>371727.91261000943</v>
      </c>
      <c r="F5" s="38">
        <f ca="1">MAX(IF(Dashboard!$H$11=Lists!$N$6, F9,   IF(OR(Dashboard!$H$11=Lists!$N$8, Dashboard!$B$4&gt;10), F11,   IF(Dashboard!$H$11=Lists!$N$7, F10,    IF(Dashboard!$H$11=Lists!$N$10, F13,    IF(Dashboard!$H$11=Lists!$N$11, F12,  0))))),    F25*IF(OR(Dashboard!$H$15="Battery only",Dashboard!$H$15="Vehicle + Battery"), 1, 0),  $C$23*IF(OR(Dashboard!$H$15="Vehicle only",Dashboard!$H$15="Vehicle + Battery"), 1, 0))</f>
        <v>339866.96174314164</v>
      </c>
      <c r="G5" s="38">
        <f ca="1">MAX(IF(Dashboard!$H$11=Lists!$N$6, G9,   IF(OR(Dashboard!$H$11=Lists!$N$8, Dashboard!$B$4&gt;10), G11,   IF(Dashboard!$H$11=Lists!$N$7, G10,    IF(Dashboard!$H$11=Lists!$N$10, G13,    IF(Dashboard!$H$11=Lists!$N$11, G12,  0))))),    G25*IF(OR(Dashboard!$H$15="Battery only",Dashboard!$H$15="Vehicle + Battery"), 1, 0),  $C$23*IF(OR(Dashboard!$H$15="Vehicle only",Dashboard!$H$15="Vehicle + Battery"), 1, 0))</f>
        <v>311004.93694981025</v>
      </c>
      <c r="H5" s="38">
        <f ca="1">MAX(IF(Dashboard!$H$11=Lists!$N$6, H9,   IF(OR(Dashboard!$H$11=Lists!$N$8, Dashboard!$B$4&gt;10), H11,   IF(Dashboard!$H$11=Lists!$N$7, H10,    IF(Dashboard!$H$11=Lists!$N$10, H13,    IF(Dashboard!$H$11=Lists!$N$11, H12,  0))))),    H25*IF(OR(Dashboard!$H$15="Battery only",Dashboard!$H$15="Vehicle + Battery"), 1, 0),  $C$23*IF(OR(Dashboard!$H$15="Vehicle only",Dashboard!$H$15="Vehicle + Battery"), 1, 0))</f>
        <v>284814.18058967486</v>
      </c>
      <c r="I5" s="38">
        <f ca="1">MAX(IF(Dashboard!$H$11=Lists!$N$6, I9,   IF(OR(Dashboard!$H$11=Lists!$N$8, Dashboard!$B$4&gt;10), I11,   IF(Dashboard!$H$11=Lists!$N$7, I10,    IF(Dashboard!$H$11=Lists!$N$10, I13,    IF(Dashboard!$H$11=Lists!$N$11, I12,  0))))),    I25*IF(OR(Dashboard!$H$15="Battery only",Dashboard!$H$15="Vehicle + Battery"), 1, 0),  $C$23*IF(OR(Dashboard!$H$15="Vehicle only",Dashboard!$H$15="Vehicle + Battery"), 1, 0))</f>
        <v>261010.11012066324</v>
      </c>
      <c r="J5" s="38">
        <f ca="1">MAX(IF(Dashboard!$H$11=Lists!$N$6, J9,   IF(OR(Dashboard!$H$11=Lists!$N$8, Dashboard!$B$4&gt;10), J11,   IF(Dashboard!$H$11=Lists!$N$7, J10,    IF(Dashboard!$H$11=Lists!$N$10, J13,    IF(Dashboard!$H$11=Lists!$N$11, J12,  0))))),    J25*IF(OR(Dashboard!$H$15="Battery only",Dashboard!$H$15="Vehicle + Battery"), 1, 0),  $C$23*IF(OR(Dashboard!$H$15="Vehicle only",Dashboard!$H$15="Vehicle + Battery"), 1, 0))</f>
        <v>239344.47890286078</v>
      </c>
      <c r="K5" s="38">
        <f ca="1">MAX(IF(Dashboard!$H$11=Lists!$N$6, K9,   IF(OR(Dashboard!$H$11=Lists!$N$8, Dashboard!$B$4&gt;10), K11,   IF(Dashboard!$H$11=Lists!$N$7, K10,    IF(Dashboard!$H$11=Lists!$N$10, K13,    IF(Dashboard!$H$11=Lists!$N$11, K12,  0))))),    K25*IF(OR(Dashboard!$H$15="Battery only",Dashboard!$H$15="Vehicle + Battery"), 1, 0),  $C$23*IF(OR(Dashboard!$H$15="Vehicle only",Dashboard!$H$15="Vehicle + Battery"), 1, 0))</f>
        <v>219599.84152419257</v>
      </c>
      <c r="L5" s="38">
        <f ca="1">MAX(IF(Dashboard!$H$11=Lists!$N$6, L9,   IF(OR(Dashboard!$H$11=Lists!$N$8, Dashboard!$B$4&gt;10), L11,   IF(Dashboard!$H$11=Lists!$N$7, L10,    IF(Dashboard!$H$11=Lists!$N$10, L13,    IF(Dashboard!$H$11=Lists!$N$11, L12,  0))))),    L25*IF(OR(Dashboard!$H$15="Battery only",Dashboard!$H$15="Vehicle + Battery"), 1, 0),  $C$23*IF(OR(Dashboard!$H$15="Vehicle only",Dashboard!$H$15="Vehicle + Battery"), 1, 0))</f>
        <v>201584.98650546934</v>
      </c>
      <c r="M5" s="38">
        <f ca="1">MAX(IF(Dashboard!$H$11=Lists!$N$6, M9,   IF(OR(Dashboard!$H$11=Lists!$N$8, Dashboard!$B$4&gt;10), M11,   IF(Dashboard!$H$11=Lists!$N$7, M10,    IF(Dashboard!$H$11=Lists!$N$10, M13,    IF(Dashboard!$H$11=Lists!$N$11, M12,  0))))),    M25*IF(OR(Dashboard!$H$15="Battery only",Dashboard!$H$15="Vehicle + Battery"), 1, 0),  $C$23*IF(OR(Dashboard!$H$15="Vehicle only",Dashboard!$H$15="Vehicle + Battery"), 1, 0))</f>
        <v>185131.14964343634</v>
      </c>
      <c r="N5" s="38">
        <f ca="1">MAX(IF(Dashboard!$H$11=Lists!$N$6, N9,   IF(OR(Dashboard!$H$11=Lists!$N$8, Dashboard!$B$4&gt;10), N11,   IF(Dashboard!$H$11=Lists!$N$7, N10,    IF(Dashboard!$H$11=Lists!$N$10, N13,    IF(Dashboard!$H$11=Lists!$N$11, N12,  0))))),    N25*IF(OR(Dashboard!$H$15="Battery only",Dashboard!$H$15="Vehicle + Battery"), 1, 0),  $C$23*IF(OR(Dashboard!$H$15="Vehicle only",Dashboard!$H$15="Vehicle + Battery"), 1, 0))</f>
        <v>170083.94595816391</v>
      </c>
      <c r="O5" s="38">
        <f ca="1">MAX(IF(Dashboard!$H$11=Lists!$N$6, O9,   IF(OR(Dashboard!$H$11=Lists!$N$8, Dashboard!$B$4&gt;10), O11,   IF(Dashboard!$H$11=Lists!$N$7, O10,    IF(Dashboard!$H$11=Lists!$N$10, O13,    IF(Dashboard!$H$11=Lists!$N$11, O12,  0))))),    O25*IF(OR(Dashboard!$H$15="Battery only",Dashboard!$H$15="Vehicle + Battery"), 1, 0),  $C$23*IF(OR(Dashboard!$H$15="Vehicle only",Dashboard!$H$15="Vehicle + Battery"), 1, 0))</f>
        <v>156312.64970770126</v>
      </c>
      <c r="P5" s="38">
        <f ca="1">MAX(IF(Dashboard!$H$11=Lists!$N$6, P9,   IF(OR(Dashboard!$H$11=Lists!$N$8, Dashboard!$B$4&gt;10), P11,   IF(Dashboard!$H$11=Lists!$N$7, P10,    IF(Dashboard!$H$11=Lists!$N$10, P13,    IF(Dashboard!$H$11=Lists!$N$11, P12,  0))))),    P25*IF(OR(Dashboard!$H$15="Battery only",Dashboard!$H$15="Vehicle + Battery"), 1, 0),  $C$23*IF(OR(Dashboard!$H$15="Vehicle only",Dashboard!$H$15="Vehicle + Battery"), 1, 0))</f>
        <v>143700.35977147194</v>
      </c>
      <c r="Q5" s="38">
        <f ca="1">MAX(IF(Dashboard!$H$11=Lists!$N$6, Q9,   IF(OR(Dashboard!$H$11=Lists!$N$8, Dashboard!$B$4&gt;10), Q11,   IF(Dashboard!$H$11=Lists!$N$7, Q10,    IF(Dashboard!$H$11=Lists!$N$10, Q13,    IF(Dashboard!$H$11=Lists!$N$11, Q12,  0))))),    Q25*IF(OR(Dashboard!$H$15="Battery only",Dashboard!$H$15="Vehicle + Battery"), 1, 0),  $C$23*IF(OR(Dashboard!$H$15="Vehicle only",Dashboard!$H$15="Vehicle + Battery"), 1, 0))</f>
        <v>132142.283765008</v>
      </c>
      <c r="R5" s="38">
        <f ca="1">MAX(IF(Dashboard!$H$11=Lists!$N$6, R9,   IF(OR(Dashboard!$H$11=Lists!$N$8, Dashboard!$B$4&gt;10), R11,   IF(Dashboard!$H$11=Lists!$N$7, R10,    IF(Dashboard!$H$11=Lists!$N$10, R13,    IF(Dashboard!$H$11=Lists!$N$11, R12,  0))))),    R25*IF(OR(Dashboard!$H$15="Battery only",Dashboard!$H$15="Vehicle + Battery"), 1, 0),  $C$23*IF(OR(Dashboard!$H$15="Vehicle only",Dashboard!$H$15="Vehicle + Battery"), 1, 0))</f>
        <v>121544.27070018623</v>
      </c>
      <c r="S5" s="38">
        <f ca="1">MAX(IF(Dashboard!$H$11=Lists!$N$6, S9,   IF(OR(Dashboard!$H$11=Lists!$N$8, Dashboard!$B$4&gt;10), S11,   IF(Dashboard!$H$11=Lists!$N$7, S10,    IF(Dashboard!$H$11=Lists!$N$10, S13,    IF(Dashboard!$H$11=Lists!$N$11, S12,  0))))),    S25*IF(OR(Dashboard!$H$15="Battery only",Dashboard!$H$15="Vehicle + Battery"), 1, 0),  $C$23*IF(OR(Dashboard!$H$15="Vehicle only",Dashboard!$H$15="Vehicle + Battery"), 1, 0))</f>
        <v>111821.5515223308</v>
      </c>
      <c r="T5" s="38">
        <f ca="1">MAX(IF(Dashboard!$H$11=Lists!$N$6, T9,   IF(OR(Dashboard!$H$11=Lists!$N$8, Dashboard!$B$4&gt;10), T11,   IF(Dashboard!$H$11=Lists!$N$7, T10,    IF(Dashboard!$H$11=Lists!$N$10, T13,    IF(Dashboard!$H$11=Lists!$N$11, T12,  0))))),    T25*IF(OR(Dashboard!$H$15="Battery only",Dashboard!$H$15="Vehicle + Battery"), 1, 0),  $C$23*IF(OR(Dashboard!$H$15="Vehicle only",Dashboard!$H$15="Vehicle + Battery"), 1, 0))</f>
        <v>102898.70774677454</v>
      </c>
      <c r="U5" s="38">
        <f ca="1">MAX(IF(Dashboard!$H$11=Lists!$N$6, U9,   IF(OR(Dashboard!$H$11=Lists!$N$8, Dashboard!$B$4&gt;10), U11,   IF(Dashboard!$H$11=Lists!$N$7, U10,    IF(Dashboard!$H$11=Lists!$N$10, U13,    IF(Dashboard!$H$11=Lists!$N$11, U12,  0))))),    U25*IF(OR(Dashboard!$H$15="Battery only",Dashboard!$H$15="Vehicle + Battery"), 1, 0),  $C$23*IF(OR(Dashboard!$H$15="Vehicle only",Dashboard!$H$15="Vehicle + Battery"), 1, 0))</f>
        <v>94706.184518932292</v>
      </c>
      <c r="V5" s="38">
        <f ca="1">MAX(IF(Dashboard!$H$11=Lists!$N$6, V9,   IF(OR(Dashboard!$H$11=Lists!$N$8, Dashboard!$B$4&gt;10), V11,   IF(Dashboard!$H$11=Lists!$N$7, V10,    IF(Dashboard!$H$11=Lists!$N$10, V13,    IF(Dashboard!$H$11=Lists!$N$11, V12,  0))))),    V25*IF(OR(Dashboard!$H$15="Battery only",Dashboard!$H$15="Vehicle + Battery"), 1, 0),  $C$23*IF(OR(Dashboard!$H$15="Vehicle only",Dashboard!$H$15="Vehicle + Battery"), 1, 0))</f>
        <v>87181.099258687827</v>
      </c>
      <c r="W5" s="38">
        <f ca="1">MAX(IF(Dashboard!$H$11=Lists!$N$6, W9,   IF(OR(Dashboard!$H$11=Lists!$N$8, Dashboard!$B$4&gt;10), W11,   IF(Dashboard!$H$11=Lists!$N$7, W10,    IF(Dashboard!$H$11=Lists!$N$10, W13,    IF(Dashboard!$H$11=Lists!$N$11, W12,  0))))),    W25*IF(OR(Dashboard!$H$15="Battery only",Dashboard!$H$15="Vehicle + Battery"), 1, 0),  $C$23*IF(OR(Dashboard!$H$15="Vehicle only",Dashboard!$H$15="Vehicle + Battery"), 1, 0))</f>
        <v>80266.501885733393</v>
      </c>
      <c r="X5" s="38">
        <f ca="1">MAX(IF(Dashboard!$H$11=Lists!$N$6, X9,   IF(OR(Dashboard!$H$11=Lists!$N$8, Dashboard!$B$4&gt;10), X11,   IF(Dashboard!$H$11=Lists!$N$7, X10,    IF(Dashboard!$H$11=Lists!$N$10, X13,    IF(Dashboard!$H$11=Lists!$N$11, X12,  0))))),    X25*IF(OR(Dashboard!$H$15="Battery only",Dashboard!$H$15="Vehicle + Battery"), 1, 0),  $C$23*IF(OR(Dashboard!$H$15="Vehicle only",Dashboard!$H$15="Vehicle + Battery"), 1, 0))</f>
        <v>73910.731885189642</v>
      </c>
      <c r="Y5" s="38">
        <f ca="1">MAX(IF(Dashboard!$H$11=Lists!$N$6, Y9,   IF(OR(Dashboard!$H$11=Lists!$N$8, Dashboard!$B$4&gt;10), Y11,   IF(Dashboard!$H$11=Lists!$N$7, Y10,    IF(Dashboard!$H$11=Lists!$N$10, Y13,    IF(Dashboard!$H$11=Lists!$N$11, Y12,  0))))),    Y25*IF(OR(Dashboard!$H$15="Battery only",Dashboard!$H$15="Vehicle + Battery"), 1, 0),  $C$23*IF(OR(Dashboard!$H$15="Vehicle only",Dashboard!$H$15="Vehicle + Battery"), 1, 0))</f>
        <v>68066.857537635471</v>
      </c>
      <c r="Z5" s="38">
        <f ca="1">MAX(IF(Dashboard!$H$11=Lists!$N$6, Z9,   IF(OR(Dashboard!$H$11=Lists!$N$8, Dashboard!$B$4&gt;10), Z11,   IF(Dashboard!$H$11=Lists!$N$7, Z10,    IF(Dashboard!$H$11=Lists!$N$10, Z13,    IF(Dashboard!$H$11=Lists!$N$11, Z12,  0))))),    Z25*IF(OR(Dashboard!$H$15="Battery only",Dashboard!$H$15="Vehicle + Battery"), 1, 0),  $C$23*IF(OR(Dashboard!$H$15="Vehicle only",Dashboard!$H$15="Vehicle + Battery"), 1, 0))</f>
        <v>62692.185113052597</v>
      </c>
      <c r="AA5" s="38">
        <f ca="1">MAX(IF(Dashboard!$H$11=Lists!$N$6, AA9,   IF(OR(Dashboard!$H$11=Lists!$N$8, Dashboard!$B$4&gt;10), AA11,   IF(Dashboard!$H$11=Lists!$N$7, AA10,    IF(Dashboard!$H$11=Lists!$N$10, AA13,    IF(Dashboard!$H$11=Lists!$N$11, AA12,  0))))),    AA25*IF(OR(Dashboard!$H$15="Battery only",Dashboard!$H$15="Vehicle + Battery"), 1, 0),  $C$23*IF(OR(Dashboard!$H$15="Vehicle only",Dashboard!$H$15="Vehicle + Battery"), 1, 0))</f>
        <v>57747.827853345618</v>
      </c>
      <c r="AB5" s="38">
        <f ca="1">MAX(IF(Dashboard!$H$11=Lists!$N$6, AB9,   IF(OR(Dashboard!$H$11=Lists!$N$8, Dashboard!$B$4&gt;10), AB11,   IF(Dashboard!$H$11=Lists!$N$7, AB10,    IF(Dashboard!$H$11=Lists!$N$10, AB13,    IF(Dashboard!$H$11=Lists!$N$11, AB12,  0))))),    AB25*IF(OR(Dashboard!$H$15="Battery only",Dashboard!$H$15="Vehicle + Battery"), 1, 0),  $C$23*IF(OR(Dashboard!$H$15="Vehicle only",Dashboard!$H$15="Vehicle + Battery"), 1, 0))</f>
        <v>53198.326229924663</v>
      </c>
      <c r="AC5" s="38">
        <f ca="1">MAX(IF(Dashboard!$H$11=Lists!$N$6, AC9,   IF(OR(Dashboard!$H$11=Lists!$N$8, Dashboard!$B$4&gt;10), AC11,   IF(Dashboard!$H$11=Lists!$N$7, AC10,    IF(Dashboard!$H$11=Lists!$N$10, AC13,    IF(Dashboard!$H$11=Lists!$N$11, AC12,  0))))),    AC25*IF(OR(Dashboard!$H$15="Battery only",Dashboard!$H$15="Vehicle + Battery"), 1, 0),  $C$23*IF(OR(Dashboard!$H$15="Vehicle only",Dashboard!$H$15="Vehicle + Battery"), 1, 0))</f>
        <v>49011.312330522822</v>
      </c>
      <c r="AD5" s="38">
        <f ca="1">MAX(IF(Dashboard!$H$11=Lists!$N$6, AD9,   IF(OR(Dashboard!$H$11=Lists!$N$8, Dashboard!$B$4&gt;10), AD11,   IF(Dashboard!$H$11=Lists!$N$7, AD10,    IF(Dashboard!$H$11=Lists!$N$10, AD13,    IF(Dashboard!$H$11=Lists!$N$11, AD12,  0))))),    AD25*IF(OR(Dashboard!$H$15="Battery only",Dashboard!$H$15="Vehicle + Battery"), 1, 0),  $C$23*IF(OR(Dashboard!$H$15="Vehicle only",Dashboard!$H$15="Vehicle + Battery"), 1, 0))</f>
        <v>45157.212358257471</v>
      </c>
      <c r="AE5" s="38">
        <f ca="1">MAX(IF(Dashboard!$H$11=Lists!$N$6, AE9,   IF(OR(Dashboard!$H$11=Lists!$N$8, Dashboard!$B$4&gt;10), AE11,   IF(Dashboard!$H$11=Lists!$N$7, AE10,    IF(Dashboard!$H$11=Lists!$N$10, AE13,    IF(Dashboard!$H$11=Lists!$N$11, AE12,  0))))),    AE25*IF(OR(Dashboard!$H$15="Battery only",Dashboard!$H$15="Vehicle + Battery"), 1, 0),  $C$23*IF(OR(Dashboard!$H$15="Vehicle only",Dashboard!$H$15="Vehicle + Battery"), 1, 0))</f>
        <v>41608.982160266663</v>
      </c>
      <c r="AF5" s="38">
        <f ca="1">MAX(IF(Dashboard!$H$11=Lists!$N$6, AF9,   IF(OR(Dashboard!$H$11=Lists!$N$8, Dashboard!$B$4&gt;10), AF11,   IF(Dashboard!$H$11=Lists!$N$7, AF10,    IF(Dashboard!$H$11=Lists!$N$10, AF13,    IF(Dashboard!$H$11=Lists!$N$11, AF12,  0))))),    AF25*IF(OR(Dashboard!$H$15="Battery only",Dashboard!$H$15="Vehicle + Battery"), 1, 0),  $C$23*IF(OR(Dashboard!$H$15="Vehicle only",Dashboard!$H$15="Vehicle + Battery"), 1, 0))</f>
        <v>38341.871478725137</v>
      </c>
    </row>
    <row r="8" spans="1:32" x14ac:dyDescent="0.45">
      <c r="A8" t="s">
        <v>0</v>
      </c>
      <c r="B8">
        <v>0</v>
      </c>
      <c r="C8">
        <v>1</v>
      </c>
      <c r="D8">
        <v>2</v>
      </c>
      <c r="E8">
        <v>3</v>
      </c>
      <c r="F8">
        <v>4</v>
      </c>
      <c r="G8">
        <v>5</v>
      </c>
      <c r="H8">
        <v>6</v>
      </c>
      <c r="I8">
        <v>7</v>
      </c>
      <c r="J8">
        <v>8</v>
      </c>
      <c r="K8">
        <v>9</v>
      </c>
      <c r="L8">
        <v>10</v>
      </c>
      <c r="M8">
        <v>11</v>
      </c>
      <c r="N8">
        <v>12</v>
      </c>
      <c r="O8">
        <v>13</v>
      </c>
      <c r="P8">
        <v>14</v>
      </c>
      <c r="Q8">
        <v>15</v>
      </c>
      <c r="R8">
        <v>16</v>
      </c>
      <c r="S8">
        <v>17</v>
      </c>
      <c r="T8">
        <v>18</v>
      </c>
      <c r="U8">
        <v>19</v>
      </c>
      <c r="V8">
        <v>20</v>
      </c>
      <c r="W8">
        <v>21</v>
      </c>
      <c r="X8">
        <v>22</v>
      </c>
      <c r="Y8">
        <v>23</v>
      </c>
      <c r="Z8">
        <v>24</v>
      </c>
      <c r="AA8">
        <v>25</v>
      </c>
      <c r="AB8">
        <v>26</v>
      </c>
      <c r="AC8">
        <v>27</v>
      </c>
      <c r="AD8">
        <v>28</v>
      </c>
      <c r="AE8">
        <v>29</v>
      </c>
      <c r="AF8">
        <v>30</v>
      </c>
    </row>
    <row r="9" spans="1:32" x14ac:dyDescent="0.45">
      <c r="A9" t="s">
        <v>254</v>
      </c>
      <c r="B9" s="6">
        <f ca="1">$B$5</f>
        <v>487190.55933337501</v>
      </c>
      <c r="C9" s="6">
        <f ca="1">B9*(1-ResidualValue!$A$20)</f>
        <v>414111.97543336876</v>
      </c>
      <c r="D9" s="6">
        <f ca="1">C9*(1-ResidualValue!$A$20)</f>
        <v>351995.17911836342</v>
      </c>
      <c r="E9" s="6">
        <f ca="1">D9*(1-ResidualValue!$A$20)</f>
        <v>299195.90225060889</v>
      </c>
      <c r="F9" s="6">
        <f ca="1">E9*(1-ResidualValue!$A$20)</f>
        <v>254316.51691301755</v>
      </c>
      <c r="G9" s="6">
        <f ca="1">F9*(1-ResidualValue!$A$20)</f>
        <v>216169.0393760649</v>
      </c>
      <c r="H9" s="6">
        <f ca="1">G9*(1-ResidualValue!$A$20)</f>
        <v>183743.68346965517</v>
      </c>
      <c r="I9" s="6">
        <f ca="1">H9*(1-ResidualValue!$A$20)</f>
        <v>156182.13094920688</v>
      </c>
      <c r="J9" s="6">
        <f ca="1">I9*(1-ResidualValue!$A$20)</f>
        <v>132754.81130682584</v>
      </c>
      <c r="K9" s="6">
        <f ca="1">J9*(1-ResidualValue!$A$20)</f>
        <v>112841.58961080197</v>
      </c>
      <c r="L9" s="6">
        <f ca="1">K9*(1-ResidualValue!$A$20)</f>
        <v>95915.351169181668</v>
      </c>
      <c r="M9" s="6">
        <f ca="1">L9*(1-ResidualValue!$A$20)</f>
        <v>81528.04849380441</v>
      </c>
      <c r="N9" s="6">
        <f ca="1">M9*(1-ResidualValue!$A$20)</f>
        <v>69298.841219733746</v>
      </c>
      <c r="O9" s="6">
        <f ca="1">N9*(1-ResidualValue!$A$20)</f>
        <v>58904.015036773679</v>
      </c>
      <c r="P9" s="6">
        <f ca="1">O9*(1-ResidualValue!$A$20)</f>
        <v>50068.412781257626</v>
      </c>
      <c r="Q9" s="6">
        <f ca="1">P9*(1-ResidualValue!$A$20)</f>
        <v>42558.150864068979</v>
      </c>
      <c r="R9" s="6">
        <f ca="1">Q9*(1-ResidualValue!$A$20)</f>
        <v>36174.428234458632</v>
      </c>
      <c r="S9" s="6">
        <f ca="1">R9*(1-ResidualValue!$A$20)</f>
        <v>30748.263999289837</v>
      </c>
      <c r="T9" s="6">
        <f ca="1">S9*(1-ResidualValue!$A$20)</f>
        <v>26136.02439939636</v>
      </c>
      <c r="U9" s="6">
        <f ca="1">T9*(1-ResidualValue!$A$20)</f>
        <v>22215.620739486905</v>
      </c>
      <c r="V9" s="6">
        <f ca="1">U9*(1-ResidualValue!$A$20)</f>
        <v>18883.277628563868</v>
      </c>
      <c r="W9" s="6">
        <f ca="1">V9*(1-ResidualValue!$A$20)</f>
        <v>16050.785984279288</v>
      </c>
      <c r="X9" s="6">
        <f ca="1">W9*(1-ResidualValue!$A$20)</f>
        <v>13643.168086637394</v>
      </c>
      <c r="Y9" s="6">
        <f ca="1">X9*(1-ResidualValue!$A$20)</f>
        <v>11596.692873641785</v>
      </c>
      <c r="Z9" s="6">
        <f ca="1">Y9*(1-ResidualValue!$A$20)</f>
        <v>9857.1889425955178</v>
      </c>
      <c r="AA9" s="6">
        <f ca="1">Z9*(1-ResidualValue!$A$20)</f>
        <v>8378.61060120619</v>
      </c>
      <c r="AB9" s="6">
        <f ca="1">AA9*(1-ResidualValue!$A$20)</f>
        <v>7121.8190110252617</v>
      </c>
      <c r="AC9" s="6">
        <f ca="1">AB9*(1-ResidualValue!$A$20)</f>
        <v>6053.5461593714726</v>
      </c>
      <c r="AD9" s="6">
        <f ca="1">AC9*(1-ResidualValue!$A$20)</f>
        <v>5145.5142354657519</v>
      </c>
      <c r="AE9" s="6">
        <f ca="1">AD9*(1-ResidualValue!$A$20)</f>
        <v>4373.6871001458894</v>
      </c>
      <c r="AF9" s="6">
        <f ca="1">AE9*(1-ResidualValue!$A$20)</f>
        <v>3717.634035124006</v>
      </c>
    </row>
    <row r="10" spans="1:32" x14ac:dyDescent="0.45">
      <c r="A10" t="s">
        <v>358</v>
      </c>
      <c r="B10" s="6">
        <f ca="1">$B$5</f>
        <v>487190.55933337501</v>
      </c>
      <c r="C10" s="6">
        <f t="shared" ref="C10:AF10" ca="1" si="0">$B$10* $G$52* EXP(C8*$H$52)</f>
        <v>362840.70911406568</v>
      </c>
      <c r="D10" s="6">
        <f t="shared" ca="1" si="0"/>
        <v>293128.86439759383</v>
      </c>
      <c r="E10" s="6">
        <f t="shared" ca="1" si="0"/>
        <v>236810.61409239774</v>
      </c>
      <c r="F10" s="6">
        <f t="shared" ca="1" si="0"/>
        <v>191312.67424675648</v>
      </c>
      <c r="G10" s="6">
        <f t="shared" ca="1" si="0"/>
        <v>154556.16070133125</v>
      </c>
      <c r="H10" s="6">
        <f t="shared" ca="1" si="0"/>
        <v>124861.60106635343</v>
      </c>
      <c r="I10" s="6">
        <f t="shared" ca="1" si="0"/>
        <v>100872.19655372106</v>
      </c>
      <c r="J10" s="6">
        <f t="shared" ca="1" si="0"/>
        <v>81491.827356636859</v>
      </c>
      <c r="K10" s="6">
        <f t="shared" ca="1" si="0"/>
        <v>65834.968929096169</v>
      </c>
      <c r="L10" s="6">
        <f t="shared" ca="1" si="0"/>
        <v>53186.230748353286</v>
      </c>
      <c r="M10" s="6">
        <f t="shared" ca="1" si="0"/>
        <v>42967.668812354917</v>
      </c>
      <c r="N10" s="6">
        <f t="shared" ca="1" si="0"/>
        <v>34712.378320311407</v>
      </c>
      <c r="O10" s="6">
        <f t="shared" ca="1" si="0"/>
        <v>28043.159937640223</v>
      </c>
      <c r="P10" s="6">
        <f t="shared" ca="1" si="0"/>
        <v>22655.284867874034</v>
      </c>
      <c r="Q10" s="6">
        <f t="shared" ca="1" si="0"/>
        <v>18302.57123611842</v>
      </c>
      <c r="R10" s="6">
        <f t="shared" ca="1" si="0"/>
        <v>14786.135588531401</v>
      </c>
      <c r="S10" s="6">
        <f t="shared" ca="1" si="0"/>
        <v>11945.305543244618</v>
      </c>
      <c r="T10" s="6">
        <f t="shared" ca="1" si="0"/>
        <v>9650.2783751114675</v>
      </c>
      <c r="U10" s="6">
        <f t="shared" ca="1" si="0"/>
        <v>7796.190091580389</v>
      </c>
      <c r="V10" s="6">
        <f t="shared" ca="1" si="0"/>
        <v>6298.3240049128826</v>
      </c>
      <c r="W10" s="6">
        <f t="shared" ca="1" si="0"/>
        <v>5088.2398716397183</v>
      </c>
      <c r="X10" s="6">
        <f t="shared" ca="1" si="0"/>
        <v>4110.6467325512403</v>
      </c>
      <c r="Y10" s="6">
        <f t="shared" ca="1" si="0"/>
        <v>3320.8765675563363</v>
      </c>
      <c r="Z10" s="6">
        <f t="shared" ca="1" si="0"/>
        <v>2682.8433320759159</v>
      </c>
      <c r="AA10" s="6">
        <f t="shared" ca="1" si="0"/>
        <v>2167.394119607578</v>
      </c>
      <c r="AB10" s="6">
        <f t="shared" ca="1" si="0"/>
        <v>1750.977112060669</v>
      </c>
      <c r="AC10" s="6">
        <f t="shared" ca="1" si="0"/>
        <v>1414.5654540741425</v>
      </c>
      <c r="AD10" s="6">
        <f t="shared" ca="1" si="0"/>
        <v>1142.7878811648645</v>
      </c>
      <c r="AE10" s="6">
        <f t="shared" ca="1" si="0"/>
        <v>923.22637851498882</v>
      </c>
      <c r="AF10" s="6">
        <f t="shared" ca="1" si="0"/>
        <v>745.84877914271192</v>
      </c>
    </row>
    <row r="11" spans="1:32" x14ac:dyDescent="0.45">
      <c r="A11" t="s">
        <v>359</v>
      </c>
      <c r="B11" s="6">
        <f ca="1">$B$5</f>
        <v>487190.55933337501</v>
      </c>
      <c r="C11" s="6">
        <f ca="1">IF(Dashboard!$B$4&gt;10,C29,C30)</f>
        <v>445130.20741180587</v>
      </c>
      <c r="D11" s="6">
        <f ca="1">IF(Dashboard!$B$4&gt;10,D29,D30)</f>
        <v>406728.90038919874</v>
      </c>
      <c r="E11" s="6">
        <f ca="1">IF(Dashboard!$B$4&gt;10,E29,E30)</f>
        <v>371727.91261000943</v>
      </c>
      <c r="F11" s="6">
        <f ca="1">IF(Dashboard!$B$4&gt;10,F29,F30)</f>
        <v>339866.96174314164</v>
      </c>
      <c r="G11" s="6">
        <f ca="1">IF(Dashboard!$B$4&gt;10,G29,G30)</f>
        <v>311004.93694981025</v>
      </c>
      <c r="H11" s="6">
        <f ca="1">IF(Dashboard!$B$4&gt;10,H29,H30)</f>
        <v>284814.18058967486</v>
      </c>
      <c r="I11" s="6">
        <f ca="1">IF(Dashboard!$B$4&gt;10,I29,I30)</f>
        <v>261010.11012066324</v>
      </c>
      <c r="J11" s="6">
        <f ca="1">IF(Dashboard!$B$4&gt;10,J29,J30)</f>
        <v>239344.47890286078</v>
      </c>
      <c r="K11" s="6">
        <f ca="1">IF(Dashboard!$B$4&gt;10,K29,K30)</f>
        <v>219599.84152419257</v>
      </c>
      <c r="L11" s="6">
        <f ca="1">IF(Dashboard!$B$4&gt;10,L29,L30)</f>
        <v>201584.98650546934</v>
      </c>
      <c r="M11" s="6">
        <f ca="1">IF(Dashboard!$B$4&gt;10,M29,M30)</f>
        <v>185131.14964343634</v>
      </c>
      <c r="N11" s="6">
        <f ca="1">IF(Dashboard!$B$4&gt;10,N29,N30)</f>
        <v>170083.94595816391</v>
      </c>
      <c r="O11" s="6">
        <f ca="1">IF(Dashboard!$B$4&gt;10,O29,O30)</f>
        <v>156312.64970770126</v>
      </c>
      <c r="P11" s="6">
        <f ca="1">IF(Dashboard!$B$4&gt;10,P29,P30)</f>
        <v>143700.35977147194</v>
      </c>
      <c r="Q11" s="6">
        <f ca="1">IF(Dashboard!$B$4&gt;10,Q29,Q30)</f>
        <v>132142.283765008</v>
      </c>
      <c r="R11" s="6">
        <f ca="1">IF(Dashboard!$B$4&gt;10,R29,R30)</f>
        <v>121544.27070018623</v>
      </c>
      <c r="S11" s="6">
        <f ca="1">IF(Dashboard!$B$4&gt;10,S29,S30)</f>
        <v>111821.5515223308</v>
      </c>
      <c r="T11" s="6">
        <f ca="1">IF(Dashboard!$B$4&gt;10,T29,T30)</f>
        <v>102898.70774677454</v>
      </c>
      <c r="U11" s="6">
        <f ca="1">IF(Dashboard!$B$4&gt;10,U29,U30)</f>
        <v>94706.184518932292</v>
      </c>
      <c r="V11" s="6">
        <f ca="1">IF(Dashboard!$B$4&gt;10,V29,V30)</f>
        <v>87181.099258687827</v>
      </c>
      <c r="W11" s="6">
        <f ca="1">IF(Dashboard!$B$4&gt;10,W29,W30)</f>
        <v>80266.501885733393</v>
      </c>
      <c r="X11" s="6">
        <f ca="1">IF(Dashboard!$B$4&gt;10,X29,X30)</f>
        <v>73910.731885189642</v>
      </c>
      <c r="Y11" s="6">
        <f ca="1">IF(Dashboard!$B$4&gt;10,Y29,Y30)</f>
        <v>68066.857537635471</v>
      </c>
      <c r="Z11" s="6">
        <f ca="1">IF(Dashboard!$B$4&gt;10,Z29,Z30)</f>
        <v>62692.185113052597</v>
      </c>
      <c r="AA11" s="6">
        <f ca="1">IF(Dashboard!$B$4&gt;10,AA29,AA30)</f>
        <v>57747.827853345618</v>
      </c>
      <c r="AB11" s="6">
        <f ca="1">IF(Dashboard!$B$4&gt;10,AB29,AB30)</f>
        <v>53198.326229924663</v>
      </c>
      <c r="AC11" s="6">
        <f ca="1">IF(Dashboard!$B$4&gt;10,AC29,AC30)</f>
        <v>49011.312330522822</v>
      </c>
      <c r="AD11" s="6">
        <f ca="1">IF(Dashboard!$B$4&gt;10,AD29,AD30)</f>
        <v>45157.212358257471</v>
      </c>
      <c r="AE11" s="6">
        <f ca="1">IF(Dashboard!$B$4&gt;10,AE29,AE30)</f>
        <v>41608.982160266663</v>
      </c>
      <c r="AF11" s="6">
        <f ca="1">IF(Dashboard!$B$4&gt;10,AF29,AF30)</f>
        <v>38341.871478725137</v>
      </c>
    </row>
    <row r="12" spans="1:32" x14ac:dyDescent="0.45">
      <c r="A12" t="s">
        <v>377</v>
      </c>
      <c r="B12" s="6">
        <f ca="1">$B$5</f>
        <v>487190.55933337501</v>
      </c>
      <c r="C12" s="6">
        <f ca="1" xml:space="preserve"> $B$5 * OFFSET(ResidualValue!C108,MATCH(Dashboard!$B$20,Lists!$B$6:$B$11,0) + 6*$G$1,0) * $B$52</f>
        <v>442530.53642825712</v>
      </c>
      <c r="D12" s="6">
        <f ca="1" xml:space="preserve"> $B$5 * OFFSET(ResidualValue!D108,MATCH(Dashboard!$B$20,Lists!$B$6:$B$11,0) + 6*$G$1,0) * $B$52</f>
        <v>356375.32498602074</v>
      </c>
      <c r="E12" s="6">
        <f ca="1" xml:space="preserve"> $B$5 * OFFSET(ResidualValue!E108,MATCH(Dashboard!$B$20,Lists!$B$6:$B$11,0) + 6*$G$1,0) * $B$52</f>
        <v>287512.41745959775</v>
      </c>
      <c r="F12" s="6">
        <f ca="1" xml:space="preserve"> $B$5 * OFFSET(ResidualValue!F108,MATCH(Dashboard!$B$20,Lists!$B$6:$B$11,0) + 6*$G$1,0) * $B$52</f>
        <v>232384.27021127817</v>
      </c>
      <c r="G12" s="6">
        <f ca="1" xml:space="preserve"> $B$5 * OFFSET(ResidualValue!G108,MATCH(Dashboard!$B$20,Lists!$B$6:$B$11,0) + 6*$G$1,0) * $B$52</f>
        <v>188170.76689148712</v>
      </c>
      <c r="H12" s="6">
        <f ca="1" xml:space="preserve"> $B$5 * OFFSET(ResidualValue!H108,MATCH(Dashboard!$B$20,Lists!$B$6:$B$11,0) + 6*$G$1,0) * $B$52</f>
        <v>152638.98299562425</v>
      </c>
      <c r="I12" s="6">
        <f ca="1" xml:space="preserve"> $B$5 * OFFSET(ResidualValue!I108,MATCH(Dashboard!$B$20,Lists!$B$6:$B$11,0) + 6*$G$1,0) * $B$52</f>
        <v>124022.70683987772</v>
      </c>
      <c r="J12" s="6">
        <f ca="1" xml:space="preserve"> $B$5 * OFFSET(ResidualValue!J108,MATCH(Dashboard!$B$20,Lists!$B$6:$B$11,0) + 6*$G$1,0) * $B$52</f>
        <v>100925.57377040842</v>
      </c>
      <c r="K12" s="6">
        <f ca="1" xml:space="preserve"> $B$5 * OFFSET(ResidualValue!K108,MATCH(Dashboard!$B$20,Lists!$B$6:$B$11,0) + 6*$G$1,0) * $B$52</f>
        <v>82243.283681186105</v>
      </c>
      <c r="L12" s="6">
        <f ca="1" xml:space="preserve"> $B$5 * OFFSET(ResidualValue!L108,MATCH(Dashboard!$B$20,Lists!$B$6:$B$11,0) + 6*$G$1,0) * $B$52</f>
        <v>67101.459680659027</v>
      </c>
      <c r="M12" s="6">
        <f ca="1" xml:space="preserve"> $B$5 * OFFSET(ResidualValue!M108,MATCH(Dashboard!$B$20,Lists!$B$6:$B$11,0) + 6*$G$1,0) * $B$52</f>
        <v>54806.367638145879</v>
      </c>
      <c r="N12" s="6">
        <f ca="1" xml:space="preserve"> $B$5 * OFFSET(ResidualValue!N108,MATCH(Dashboard!$B$20,Lists!$B$6:$B$11,0) + 6*$G$1,0) * $B$52</f>
        <v>44806.129770502179</v>
      </c>
      <c r="O12" s="6">
        <f ca="1" xml:space="preserve"> $B$5 * OFFSET(ResidualValue!O108,MATCH(Dashboard!$B$20,Lists!$B$6:$B$11,0) + 6*$G$1,0) * $B$52</f>
        <v>36660.382302815327</v>
      </c>
      <c r="P12" s="6">
        <f ca="1" xml:space="preserve"> $B$5 * OFFSET(ResidualValue!P108,MATCH(Dashboard!$B$20,Lists!$B$6:$B$11,0) + 6*$G$1,0) * $B$52</f>
        <v>30016.625525154803</v>
      </c>
      <c r="Q12" s="6">
        <f ca="1" xml:space="preserve"> $B$5 * OFFSET(ResidualValue!Q108,MATCH(Dashboard!$B$20,Lists!$B$6:$B$11,0) + 6*$G$1,0) * $B$52</f>
        <v>24591.810201196215</v>
      </c>
      <c r="R12" s="6">
        <f ca="1" xml:space="preserve"> $B$5 * OFFSET(ResidualValue!R108,MATCH(Dashboard!$B$20,Lists!$B$6:$B$11,0) + 6*$G$1,0) * $B$52</f>
        <v>20157.984556706215</v>
      </c>
      <c r="S12" s="6">
        <f ca="1" xml:space="preserve"> $B$5 * OFFSET(ResidualValue!S108,MATCH(Dashboard!$B$20,Lists!$B$6:$B$11,0) + 6*$G$1,0) * $B$52</f>
        <v>16531.074978310327</v>
      </c>
      <c r="T12" s="6">
        <f ca="1" xml:space="preserve"> $B$5 * OFFSET(ResidualValue!T108,MATCH(Dashboard!$B$20,Lists!$B$6:$B$11,0) + 6*$G$1,0) * $B$52</f>
        <v>13562.082254591165</v>
      </c>
      <c r="U12" s="6">
        <f ca="1" xml:space="preserve"> $B$5 * OFFSET(ResidualValue!U108,MATCH(Dashboard!$B$20,Lists!$B$6:$B$11,0) + 6*$G$1,0) * $B$52</f>
        <v>11130.142765016315</v>
      </c>
      <c r="V12" s="6">
        <f ca="1" xml:space="preserve"> $B$5 * OFFSET(ResidualValue!V108,MATCH(Dashboard!$B$20,Lists!$B$6:$B$11,0) + 6*$G$1,0) * $B$52</f>
        <v>9137.0346008423148</v>
      </c>
      <c r="W12" s="6">
        <f ca="1" xml:space="preserve"> $B$5 * OFFSET(ResidualValue!W108,MATCH(Dashboard!$B$20,Lists!$B$6:$B$11,0) + 6*$G$1,0) * $B$52</f>
        <v>7502.8084369705966</v>
      </c>
      <c r="X12" s="6">
        <f ca="1" xml:space="preserve"> $B$5 * OFFSET(ResidualValue!X108,MATCH(Dashboard!$B$20,Lists!$B$6:$B$11,0) + 6*$G$1,0) * $B$52</f>
        <v>6162.2985012376848</v>
      </c>
      <c r="Y12" s="6">
        <f ca="1" xml:space="preserve"> $B$5 * OFFSET(ResidualValue!Y108,MATCH(Dashboard!$B$20,Lists!$B$6:$B$11,0) + 6*$G$1,0) * $B$52</f>
        <v>5062.3258817181204</v>
      </c>
      <c r="Z12" s="6">
        <f ca="1" xml:space="preserve"> $B$5 * OFFSET(ResidualValue!Z108,MATCH(Dashboard!$B$20,Lists!$B$6:$B$11,0) + 6*$G$1,0) * $B$52</f>
        <v>4159.4492791535595</v>
      </c>
      <c r="AA12" s="6">
        <f ca="1" xml:space="preserve"> $B$5 * OFFSET(ResidualValue!AA108,MATCH(Dashboard!$B$20,Lists!$B$6:$B$11,0) + 6*$G$1,0) * $B$52</f>
        <v>3418.1507149180084</v>
      </c>
      <c r="AB12" s="6">
        <f ca="1" xml:space="preserve"> $B$5 * OFFSET(ResidualValue!AB108,MATCH(Dashboard!$B$20,Lists!$B$6:$B$11,0) + 6*$G$1,0) * $B$52</f>
        <v>2809.3683271200057</v>
      </c>
      <c r="AC12" s="6">
        <f ca="1" xml:space="preserve"> $B$5 * OFFSET(ResidualValue!AC108,MATCH(Dashboard!$B$20,Lists!$B$6:$B$11,0) + 6*$G$1,0) * $B$52</f>
        <v>2309.3072156854228</v>
      </c>
      <c r="AD12" s="6">
        <f ca="1" xml:space="preserve"> $B$5 * OFFSET(ResidualValue!AD108,MATCH(Dashboard!$B$20,Lists!$B$6:$B$11,0) + 6*$G$1,0) * $B$52</f>
        <v>1898.4737932053624</v>
      </c>
      <c r="AE12" s="6">
        <f ca="1" xml:space="preserve"> $B$5 * OFFSET(ResidualValue!AE108,MATCH(Dashboard!$B$20,Lists!$B$6:$B$11,0) + 6*$G$1,0) * $B$52</f>
        <v>1560.8903354135771</v>
      </c>
      <c r="AF12" s="6">
        <f ca="1" xml:space="preserve"> $B$5 * OFFSET(ResidualValue!AF108,MATCH(Dashboard!$B$20,Lists!$B$6:$B$11,0) + 6*$G$1,0) * $B$52</f>
        <v>1283.4551935534414</v>
      </c>
    </row>
    <row r="13" spans="1:32" x14ac:dyDescent="0.45">
      <c r="A13" t="s">
        <v>378</v>
      </c>
      <c r="B13" s="6">
        <f ca="1">$B$5</f>
        <v>487190.55933337501</v>
      </c>
      <c r="C13" s="6">
        <f ca="1" xml:space="preserve"> $B$5 * OFFSET(ResidualValue!C94,MATCH(Dashboard!$B$20,Lists!$B$6:$B$11,0) + 6*$G$1,0) * $B$52</f>
        <v>297501.23281620047</v>
      </c>
      <c r="D13" s="6">
        <f ca="1" xml:space="preserve"> $B$5 * OFFSET(ResidualValue!D94,MATCH(Dashboard!$B$20,Lists!$B$6:$B$11,0) + 6*$G$1,0) * $B$52</f>
        <v>241106.84746429836</v>
      </c>
      <c r="E13" s="6">
        <f ca="1" xml:space="preserve"> $B$5 * OFFSET(ResidualValue!E94,MATCH(Dashboard!$B$20,Lists!$B$6:$B$11,0) + 6*$G$1,0) * $B$52</f>
        <v>195049.89535051925</v>
      </c>
      <c r="F13" s="6">
        <f ca="1" xml:space="preserve"> $B$5 * OFFSET(ResidualValue!F94,MATCH(Dashboard!$B$20,Lists!$B$6:$B$11,0) + 6*$G$1,0) * $B$52</f>
        <v>157500.07214841712</v>
      </c>
      <c r="G13" s="6">
        <f ca="1" xml:space="preserve"> $B$5 * OFFSET(ResidualValue!G94,MATCH(Dashboard!$B$20,Lists!$B$6:$B$11,0) + 6*$G$1,0) * $B$52</f>
        <v>126946.42853085542</v>
      </c>
      <c r="H13" s="6">
        <f ca="1" xml:space="preserve"> $B$5 * OFFSET(ResidualValue!H94,MATCH(Dashboard!$B$20,Lists!$B$6:$B$11,0) + 6*$G$1,0) * $B$52</f>
        <v>102139.17255102097</v>
      </c>
      <c r="I13" s="6">
        <f ca="1" xml:space="preserve"> $B$5 * OFFSET(ResidualValue!I94,MATCH(Dashboard!$B$20,Lists!$B$6:$B$11,0) + 6*$G$1,0) * $B$52</f>
        <v>82043.041138015353</v>
      </c>
      <c r="J13" s="6">
        <f ca="1" xml:space="preserve"> $B$5 * OFFSET(ResidualValue!J94,MATCH(Dashboard!$B$20,Lists!$B$6:$B$11,0) + 6*$G$1,0) * $B$52</f>
        <v>65800.150343727903</v>
      </c>
      <c r="K13" s="6">
        <f ca="1" xml:space="preserve"> $B$5 * OFFSET(ResidualValue!K94,MATCH(Dashboard!$B$20,Lists!$B$6:$B$11,0) + 6*$G$1,0) * $B$52</f>
        <v>52700.268537056545</v>
      </c>
      <c r="L13" s="6">
        <f ca="1" xml:space="preserve"> $B$5 * OFFSET(ResidualValue!L94,MATCH(Dashboard!$B$20,Lists!$B$6:$B$11,0) + 6*$G$1,0) * $B$52</f>
        <v>42156.685650050727</v>
      </c>
      <c r="M13" s="6">
        <f ca="1" xml:space="preserve"> $B$5 * OFFSET(ResidualValue!M94,MATCH(Dashboard!$B$20,Lists!$B$6:$B$11,0) + 6*$G$1,0) * $B$52</f>
        <v>33686.242012913062</v>
      </c>
      <c r="N13" s="6">
        <f ca="1" xml:space="preserve"> $B$5 * OFFSET(ResidualValue!N94,MATCH(Dashboard!$B$20,Lists!$B$6:$B$11,0) + 6*$G$1,0) * $B$52</f>
        <v>26892.508135355456</v>
      </c>
      <c r="O13" s="6">
        <f ca="1" xml:space="preserve"> $B$5 * OFFSET(ResidualValue!O94,MATCH(Dashboard!$B$20,Lists!$B$6:$B$11,0) + 6*$G$1,0) * $B$52</f>
        <v>21451.462598644339</v>
      </c>
      <c r="P13" s="6">
        <f ca="1" xml:space="preserve"> $B$5 * OFFSET(ResidualValue!P94,MATCH(Dashboard!$B$20,Lists!$B$6:$B$11,0) + 6*$G$1,0) * $B$52</f>
        <v>17099.254958071306</v>
      </c>
      <c r="Q13" s="6">
        <f ca="1" xml:space="preserve"> $B$5 * OFFSET(ResidualValue!Q94,MATCH(Dashboard!$B$20,Lists!$B$6:$B$11,0) + 6*$G$1,0) * $B$52</f>
        <v>13621.775355129985</v>
      </c>
      <c r="R13" s="6">
        <f ca="1" xml:space="preserve"> $B$5 * OFFSET(ResidualValue!R94,MATCH(Dashboard!$B$20,Lists!$B$6:$B$11,0) + 6*$G$1,0) * $B$52</f>
        <v>10845.816715004112</v>
      </c>
      <c r="S13" s="6">
        <f ca="1" xml:space="preserve"> $B$5 * OFFSET(ResidualValue!S94,MATCH(Dashboard!$B$20,Lists!$B$6:$B$11,0) + 6*$G$1,0) * $B$52</f>
        <v>8631.64221646443</v>
      </c>
      <c r="T13" s="6">
        <f ca="1" xml:space="preserve"> $B$5 * OFFSET(ResidualValue!T94,MATCH(Dashboard!$B$20,Lists!$B$6:$B$11,0) + 6*$G$1,0) * $B$52</f>
        <v>6866.7827750431006</v>
      </c>
      <c r="U13" s="6">
        <f ca="1" xml:space="preserve"> $B$5 * OFFSET(ResidualValue!U94,MATCH(Dashboard!$B$20,Lists!$B$6:$B$11,0) + 6*$G$1,0) * $B$52</f>
        <v>5460.8985077048392</v>
      </c>
      <c r="V13" s="6">
        <f ca="1" xml:space="preserve"> $B$5 * OFFSET(ResidualValue!V94,MATCH(Dashboard!$B$20,Lists!$B$6:$B$11,0) + 6*$G$1,0) * $B$52</f>
        <v>4341.5492065140152</v>
      </c>
      <c r="W13" s="6">
        <f ca="1" xml:space="preserve"> $B$5 * OFFSET(ResidualValue!W94,MATCH(Dashboard!$B$20,Lists!$B$6:$B$11,0) + 6*$G$1,0) * $B$52</f>
        <v>3450.7325148798218</v>
      </c>
      <c r="X13" s="6">
        <f ca="1" xml:space="preserve"> $B$5 * OFFSET(ResidualValue!X94,MATCH(Dashboard!$B$20,Lists!$B$6:$B$11,0) + 6*$G$1,0) * $B$52</f>
        <v>2742.0639523914811</v>
      </c>
      <c r="Y13" s="6">
        <f ca="1" xml:space="preserve"> $B$5 * OFFSET(ResidualValue!Y94,MATCH(Dashboard!$B$20,Lists!$B$6:$B$11,0) + 6*$G$1,0) * $B$52</f>
        <v>2178.4889893305381</v>
      </c>
      <c r="Z13" s="6">
        <f ca="1" xml:space="preserve"> $B$5 * OFFSET(ResidualValue!Z94,MATCH(Dashboard!$B$20,Lists!$B$6:$B$11,0) + 6*$G$1,0) * $B$52</f>
        <v>1730.4330147977912</v>
      </c>
      <c r="AA13" s="6">
        <f ca="1" xml:space="preserve"> $B$5 * OFFSET(ResidualValue!AA94,MATCH(Dashboard!$B$20,Lists!$B$6:$B$11,0) + 6*$G$1,0) * $B$52</f>
        <v>1374.3095812448614</v>
      </c>
      <c r="AB13" s="6">
        <f ca="1" xml:space="preserve"> $B$5 * OFFSET(ResidualValue!AB94,MATCH(Dashboard!$B$20,Lists!$B$6:$B$11,0) + 6*$G$1,0) * $B$52</f>
        <v>1091.3203593866469</v>
      </c>
      <c r="AC13" s="6">
        <f ca="1" xml:space="preserve"> $B$5 * OFFSET(ResidualValue!AC94,MATCH(Dashboard!$B$20,Lists!$B$6:$B$11,0) + 6*$G$1,0) * $B$52</f>
        <v>866.49165342281935</v>
      </c>
      <c r="AD13" s="6">
        <f ca="1" xml:space="preserve"> $B$5 * OFFSET(ResidualValue!AD94,MATCH(Dashboard!$B$20,Lists!$B$6:$B$11,0) + 6*$G$1,0) * $B$52</f>
        <v>687.90211829618045</v>
      </c>
      <c r="AE13" s="6">
        <f ca="1" xml:space="preserve"> $B$5 * OFFSET(ResidualValue!AE94,MATCH(Dashboard!$B$20,Lists!$B$6:$B$11,0) + 6*$G$1,0) * $B$52</f>
        <v>546.06459427450341</v>
      </c>
      <c r="AF13" s="6">
        <f ca="1" xml:space="preserve"> $B$5 * OFFSET(ResidualValue!AF94,MATCH(Dashboard!$B$20,Lists!$B$6:$B$11,0) + 6*$G$1,0) * $B$52</f>
        <v>433.43188396294033</v>
      </c>
    </row>
    <row r="15" spans="1:32" x14ac:dyDescent="0.45">
      <c r="A15" t="s">
        <v>255</v>
      </c>
      <c r="B15">
        <f ca="1">B16+B17</f>
        <v>0</v>
      </c>
      <c r="C15">
        <f t="shared" ref="C15:AF15" ca="1" si="1">B5-C5</f>
        <v>42060.351921569149</v>
      </c>
      <c r="D15">
        <f t="shared" ca="1" si="1"/>
        <v>38401.307022607129</v>
      </c>
      <c r="E15">
        <f t="shared" ca="1" si="1"/>
        <v>35000.987779189309</v>
      </c>
      <c r="F15">
        <f t="shared" ca="1" si="1"/>
        <v>31860.950866867788</v>
      </c>
      <c r="G15">
        <f t="shared" ca="1" si="1"/>
        <v>28862.024793331395</v>
      </c>
      <c r="H15">
        <f t="shared" ca="1" si="1"/>
        <v>26190.75636013539</v>
      </c>
      <c r="I15">
        <f t="shared" ca="1" si="1"/>
        <v>23804.070469011611</v>
      </c>
      <c r="J15">
        <f t="shared" ca="1" si="1"/>
        <v>21665.631217802467</v>
      </c>
      <c r="K15">
        <f t="shared" ca="1" si="1"/>
        <v>19744.637378668209</v>
      </c>
      <c r="L15">
        <f t="shared" ca="1" si="1"/>
        <v>18014.855018723232</v>
      </c>
      <c r="M15">
        <f t="shared" ca="1" si="1"/>
        <v>16453.836862033</v>
      </c>
      <c r="N15">
        <f t="shared" ca="1" si="1"/>
        <v>15047.203685272427</v>
      </c>
      <c r="O15">
        <f t="shared" ca="1" si="1"/>
        <v>13771.296250462648</v>
      </c>
      <c r="P15">
        <f t="shared" ca="1" si="1"/>
        <v>12612.289936229325</v>
      </c>
      <c r="Q15">
        <f t="shared" ca="1" si="1"/>
        <v>11558.076006463933</v>
      </c>
      <c r="R15">
        <f t="shared" ca="1" si="1"/>
        <v>10598.013064821775</v>
      </c>
      <c r="S15">
        <f t="shared" ca="1" si="1"/>
        <v>9722.7191778554261</v>
      </c>
      <c r="T15">
        <f t="shared" ca="1" si="1"/>
        <v>8922.8437755562627</v>
      </c>
      <c r="U15">
        <f t="shared" ca="1" si="1"/>
        <v>8192.5232278422482</v>
      </c>
      <c r="V15">
        <f t="shared" ca="1" si="1"/>
        <v>7525.0852602444647</v>
      </c>
      <c r="W15">
        <f t="shared" ca="1" si="1"/>
        <v>6914.5973729544348</v>
      </c>
      <c r="X15">
        <f t="shared" ca="1" si="1"/>
        <v>6355.7700005437509</v>
      </c>
      <c r="Y15">
        <f t="shared" ca="1" si="1"/>
        <v>5843.8743475541705</v>
      </c>
      <c r="Z15">
        <f t="shared" ca="1" si="1"/>
        <v>5374.6724245828736</v>
      </c>
      <c r="AA15">
        <f t="shared" ca="1" si="1"/>
        <v>4944.3572597069797</v>
      </c>
      <c r="AB15">
        <f t="shared" ca="1" si="1"/>
        <v>4549.5016234209543</v>
      </c>
      <c r="AC15">
        <f t="shared" ca="1" si="1"/>
        <v>4187.0138994018416</v>
      </c>
      <c r="AD15">
        <f t="shared" ca="1" si="1"/>
        <v>3854.0999722653505</v>
      </c>
      <c r="AE15">
        <f t="shared" ca="1" si="1"/>
        <v>3548.2301979908079</v>
      </c>
      <c r="AF15">
        <f t="shared" ca="1" si="1"/>
        <v>3267.110681541526</v>
      </c>
    </row>
    <row r="16" spans="1:32" x14ac:dyDescent="0.45">
      <c r="A16" t="s">
        <v>256</v>
      </c>
      <c r="B16">
        <f ca="1">OFFSET(Vehicle!B5, MATCH(Dashboard!$H$11, Lists!$N$6:$N$9, 0), 0)</f>
        <v>0</v>
      </c>
      <c r="C16">
        <f t="shared" ref="C16:Q16" ca="1" si="2">IF(C8&lt;=$J$1, C15* ($P$1-$U$1)/($P$1-$R$1), 0 )</f>
        <v>53522.05892201457</v>
      </c>
      <c r="D16">
        <f t="shared" ca="1" si="2"/>
        <v>48865.901573504307</v>
      </c>
      <c r="E16">
        <f t="shared" ca="1" si="2"/>
        <v>44538.97422778848</v>
      </c>
      <c r="F16">
        <f t="shared" ca="1" si="2"/>
        <v>40543.257764170667</v>
      </c>
      <c r="G16">
        <f t="shared" ca="1" si="2"/>
        <v>36727.105718893326</v>
      </c>
      <c r="H16">
        <f t="shared" ca="1" si="2"/>
        <v>33327.900054978847</v>
      </c>
      <c r="I16">
        <f t="shared" ca="1" si="2"/>
        <v>30290.82744247984</v>
      </c>
      <c r="J16">
        <f t="shared" ca="1" si="2"/>
        <v>27569.65022033513</v>
      </c>
      <c r="K16">
        <f t="shared" ca="1" si="2"/>
        <v>25125.173634911091</v>
      </c>
      <c r="L16">
        <f t="shared" ca="1" si="2"/>
        <v>22924.014843756057</v>
      </c>
      <c r="M16">
        <f t="shared" si="2"/>
        <v>0</v>
      </c>
      <c r="N16">
        <f t="shared" si="2"/>
        <v>0</v>
      </c>
      <c r="O16">
        <f t="shared" si="2"/>
        <v>0</v>
      </c>
      <c r="P16">
        <f t="shared" si="2"/>
        <v>0</v>
      </c>
      <c r="Q16">
        <f t="shared" si="2"/>
        <v>0</v>
      </c>
      <c r="R16">
        <f t="shared" ref="R16:AF16" si="3">IF(R8&lt;=$J$1, R15* ($P$1-$U$1)/($P$1-$R$1), 0 )</f>
        <v>0</v>
      </c>
      <c r="S16">
        <f t="shared" si="3"/>
        <v>0</v>
      </c>
      <c r="T16">
        <f t="shared" si="3"/>
        <v>0</v>
      </c>
      <c r="U16">
        <f t="shared" si="3"/>
        <v>0</v>
      </c>
      <c r="V16">
        <f t="shared" si="3"/>
        <v>0</v>
      </c>
      <c r="W16">
        <f t="shared" si="3"/>
        <v>0</v>
      </c>
      <c r="X16">
        <f t="shared" si="3"/>
        <v>0</v>
      </c>
      <c r="Y16">
        <f t="shared" si="3"/>
        <v>0</v>
      </c>
      <c r="Z16">
        <f t="shared" si="3"/>
        <v>0</v>
      </c>
      <c r="AA16">
        <f t="shared" si="3"/>
        <v>0</v>
      </c>
      <c r="AB16">
        <f t="shared" si="3"/>
        <v>0</v>
      </c>
      <c r="AC16">
        <f t="shared" si="3"/>
        <v>0</v>
      </c>
      <c r="AD16">
        <f t="shared" si="3"/>
        <v>0</v>
      </c>
      <c r="AE16">
        <f t="shared" si="3"/>
        <v>0</v>
      </c>
      <c r="AF16">
        <f t="shared" si="3"/>
        <v>0</v>
      </c>
    </row>
    <row r="18" spans="1:37" x14ac:dyDescent="0.45">
      <c r="C18" s="131"/>
    </row>
    <row r="19" spans="1:37" x14ac:dyDescent="0.45">
      <c r="A19" t="s">
        <v>265</v>
      </c>
      <c r="D19" t="s">
        <v>231</v>
      </c>
      <c r="F19" t="s">
        <v>232</v>
      </c>
    </row>
    <row r="20" spans="1:37" x14ac:dyDescent="0.45">
      <c r="A20" s="4">
        <v>0.15</v>
      </c>
      <c r="D20" s="6">
        <f ca="1">Vehicle!$AC$14</f>
        <v>358.78993580608625</v>
      </c>
      <c r="F20" s="2">
        <f>185*1.5</f>
        <v>277.5</v>
      </c>
    </row>
    <row r="22" spans="1:37" x14ac:dyDescent="0.45">
      <c r="B22">
        <v>0</v>
      </c>
      <c r="C22">
        <v>1</v>
      </c>
      <c r="D22">
        <v>2</v>
      </c>
      <c r="E22">
        <v>3</v>
      </c>
      <c r="F22">
        <v>4</v>
      </c>
      <c r="G22">
        <v>5</v>
      </c>
      <c r="H22">
        <v>6</v>
      </c>
      <c r="I22">
        <v>7</v>
      </c>
      <c r="J22">
        <v>8</v>
      </c>
      <c r="K22">
        <v>9</v>
      </c>
      <c r="L22">
        <v>10</v>
      </c>
      <c r="M22">
        <v>11</v>
      </c>
      <c r="N22">
        <v>12</v>
      </c>
      <c r="O22">
        <v>13</v>
      </c>
      <c r="P22">
        <v>14</v>
      </c>
      <c r="Q22">
        <v>15</v>
      </c>
      <c r="R22">
        <v>16</v>
      </c>
      <c r="S22">
        <v>17</v>
      </c>
      <c r="T22">
        <v>18</v>
      </c>
      <c r="U22">
        <v>19</v>
      </c>
      <c r="V22">
        <v>20</v>
      </c>
      <c r="W22">
        <v>21</v>
      </c>
      <c r="X22">
        <v>22</v>
      </c>
      <c r="Y22">
        <v>23</v>
      </c>
      <c r="Z22">
        <v>24</v>
      </c>
      <c r="AA22">
        <v>25</v>
      </c>
      <c r="AB22">
        <v>26</v>
      </c>
      <c r="AC22">
        <v>27</v>
      </c>
      <c r="AD22">
        <v>28</v>
      </c>
      <c r="AE22">
        <v>29</v>
      </c>
      <c r="AF22">
        <v>30</v>
      </c>
      <c r="AG22">
        <v>31</v>
      </c>
      <c r="AH22">
        <v>32</v>
      </c>
      <c r="AI22">
        <v>33</v>
      </c>
      <c r="AJ22">
        <v>34</v>
      </c>
      <c r="AK22">
        <v>35</v>
      </c>
    </row>
    <row r="23" spans="1:37" x14ac:dyDescent="0.45">
      <c r="A23" t="s">
        <v>238</v>
      </c>
      <c r="C23" s="2">
        <v>500</v>
      </c>
      <c r="D23" s="6">
        <f>C23</f>
        <v>500</v>
      </c>
      <c r="E23" s="6">
        <f t="shared" ref="E23:AG23" si="4">D23</f>
        <v>500</v>
      </c>
      <c r="F23" s="6">
        <f t="shared" si="4"/>
        <v>500</v>
      </c>
      <c r="G23" s="6">
        <f t="shared" si="4"/>
        <v>500</v>
      </c>
      <c r="H23" s="6">
        <f t="shared" si="4"/>
        <v>500</v>
      </c>
      <c r="I23" s="6">
        <f t="shared" si="4"/>
        <v>500</v>
      </c>
      <c r="J23" s="6">
        <f t="shared" si="4"/>
        <v>500</v>
      </c>
      <c r="K23" s="6">
        <f t="shared" si="4"/>
        <v>500</v>
      </c>
      <c r="L23" s="6">
        <f t="shared" si="4"/>
        <v>500</v>
      </c>
      <c r="M23" s="6">
        <f t="shared" si="4"/>
        <v>500</v>
      </c>
      <c r="N23" s="6">
        <f t="shared" si="4"/>
        <v>500</v>
      </c>
      <c r="O23" s="6">
        <f t="shared" si="4"/>
        <v>500</v>
      </c>
      <c r="P23" s="6">
        <f t="shared" si="4"/>
        <v>500</v>
      </c>
      <c r="Q23" s="6">
        <f t="shared" si="4"/>
        <v>500</v>
      </c>
      <c r="R23" s="6">
        <f t="shared" si="4"/>
        <v>500</v>
      </c>
      <c r="S23" s="6">
        <f t="shared" si="4"/>
        <v>500</v>
      </c>
      <c r="T23" s="6">
        <f t="shared" si="4"/>
        <v>500</v>
      </c>
      <c r="U23" s="6">
        <f t="shared" si="4"/>
        <v>500</v>
      </c>
      <c r="V23" s="6">
        <f t="shared" si="4"/>
        <v>500</v>
      </c>
      <c r="W23" s="6">
        <f t="shared" si="4"/>
        <v>500</v>
      </c>
      <c r="X23" s="6">
        <f t="shared" si="4"/>
        <v>500</v>
      </c>
      <c r="Y23" s="6">
        <f t="shared" si="4"/>
        <v>500</v>
      </c>
      <c r="Z23" s="6">
        <f t="shared" si="4"/>
        <v>500</v>
      </c>
      <c r="AA23" s="6">
        <f t="shared" si="4"/>
        <v>500</v>
      </c>
      <c r="AB23" s="6">
        <f t="shared" si="4"/>
        <v>500</v>
      </c>
      <c r="AC23" s="6">
        <f t="shared" si="4"/>
        <v>500</v>
      </c>
      <c r="AD23" s="6">
        <f t="shared" si="4"/>
        <v>500</v>
      </c>
      <c r="AE23" s="6">
        <f t="shared" si="4"/>
        <v>500</v>
      </c>
      <c r="AF23" s="6">
        <f t="shared" si="4"/>
        <v>500</v>
      </c>
      <c r="AG23" s="6">
        <f t="shared" si="4"/>
        <v>500</v>
      </c>
    </row>
    <row r="24" spans="1:37" x14ac:dyDescent="0.45">
      <c r="A24" t="s">
        <v>239</v>
      </c>
      <c r="C24">
        <v>0.7</v>
      </c>
      <c r="D24">
        <v>0.6221073845275078</v>
      </c>
      <c r="E24">
        <v>0.55750105186668797</v>
      </c>
      <c r="F24">
        <v>0.50285273568696598</v>
      </c>
      <c r="G24">
        <v>0.45588145051525714</v>
      </c>
      <c r="H24">
        <v>0.4149676667631666</v>
      </c>
      <c r="I24">
        <v>0.37892731138526126</v>
      </c>
      <c r="J24">
        <v>0.34687305823665121</v>
      </c>
      <c r="K24">
        <v>0.31812579983668582</v>
      </c>
      <c r="L24">
        <v>0.29215623775852329</v>
      </c>
      <c r="M24">
        <v>0.26854522686777454</v>
      </c>
      <c r="N24">
        <v>0.2469561736034096</v>
      </c>
      <c r="O24">
        <v>0.22711539967687153</v>
      </c>
      <c r="P24">
        <v>0.20879789942523372</v>
      </c>
      <c r="Q24">
        <v>0.19181682937590944</v>
      </c>
      <c r="R24">
        <v>0.17601563086560412</v>
      </c>
      <c r="S24">
        <v>0.16126204290271162</v>
      </c>
      <c r="T24">
        <v>0.14744349356094053</v>
      </c>
      <c r="U24">
        <v>0.13446351121464989</v>
      </c>
      <c r="V24">
        <v>0.12223890018129065</v>
      </c>
      <c r="W24">
        <v>0.1106974962185244</v>
      </c>
      <c r="X24">
        <v>9.977636675500591E-2</v>
      </c>
      <c r="Y24">
        <v>8.9420355708558913E-2</v>
      </c>
      <c r="Z24">
        <v>7.9580897824042332E-2</v>
      </c>
      <c r="AA24">
        <v>7.0215045669188292E-2</v>
      </c>
      <c r="AB24">
        <v>6.1284665795811023E-2</v>
      </c>
      <c r="AC24">
        <v>5.2755770496314872E-2</v>
      </c>
      <c r="AD24">
        <v>4.4597959023551771E-2</v>
      </c>
      <c r="AE24">
        <v>3.6783947769951274E-2</v>
      </c>
      <c r="AF24">
        <v>2.9289173197335597E-2</v>
      </c>
      <c r="AG24">
        <v>2.2091454614333452E-2</v>
      </c>
    </row>
    <row r="25" spans="1:37" x14ac:dyDescent="0.45">
      <c r="A25" t="s">
        <v>240</v>
      </c>
      <c r="C25" s="14">
        <f t="shared" ref="C25:AG25" ca="1" si="5">C24*$F$20*$D$20</f>
        <v>69694.945030332252</v>
      </c>
      <c r="D25" s="14">
        <f t="shared" ca="1" si="5"/>
        <v>61939.628525154891</v>
      </c>
      <c r="E25" s="14">
        <f t="shared" ca="1" si="5"/>
        <v>55507.150234573186</v>
      </c>
      <c r="F25" s="14">
        <f t="shared" ca="1" si="5"/>
        <v>50066.13396007898</v>
      </c>
      <c r="G25" s="14">
        <f t="shared" ca="1" si="5"/>
        <v>45389.475191441401</v>
      </c>
      <c r="H25" s="14">
        <f t="shared" ca="1" si="5"/>
        <v>41315.926749177328</v>
      </c>
      <c r="I25" s="14">
        <f t="shared" ca="1" si="5"/>
        <v>37727.597339267682</v>
      </c>
      <c r="J25" s="14">
        <f t="shared" ca="1" si="5"/>
        <v>34536.141037580921</v>
      </c>
      <c r="K25" s="14">
        <f t="shared" ca="1" si="5"/>
        <v>31673.943046211854</v>
      </c>
      <c r="L25" s="14">
        <f t="shared" ca="1" si="5"/>
        <v>29088.304186927089</v>
      </c>
      <c r="M25" s="14">
        <f t="shared" ca="1" si="5"/>
        <v>26737.492606725216</v>
      </c>
      <c r="N25" s="14">
        <f t="shared" ca="1" si="5"/>
        <v>24587.995634558316</v>
      </c>
      <c r="O25" s="14">
        <f t="shared" ca="1" si="5"/>
        <v>22612.564708602142</v>
      </c>
      <c r="P25" s="14">
        <f t="shared" ca="1" si="5"/>
        <v>20788.797318415011</v>
      </c>
      <c r="Q25" s="14">
        <f t="shared" ca="1" si="5"/>
        <v>19098.090541780901</v>
      </c>
      <c r="R25" s="14">
        <f t="shared" ca="1" si="5"/>
        <v>17524.85673951076</v>
      </c>
      <c r="S25" s="14">
        <f t="shared" ca="1" si="5"/>
        <v>16055.927450833669</v>
      </c>
      <c r="T25" s="14">
        <f t="shared" ca="1" si="5"/>
        <v>14680.094541156997</v>
      </c>
      <c r="U25" s="14">
        <f t="shared" ca="1" si="5"/>
        <v>13387.752889557842</v>
      </c>
      <c r="V25" s="14">
        <f t="shared" ca="1" si="5"/>
        <v>12170.619183861889</v>
      </c>
      <c r="W25" s="14">
        <f t="shared" ca="1" si="5"/>
        <v>11021.508448493529</v>
      </c>
      <c r="X25" s="14">
        <f t="shared" ca="1" si="5"/>
        <v>9934.154851880583</v>
      </c>
      <c r="Y25" s="14">
        <f t="shared" ca="1" si="5"/>
        <v>8903.0668224296733</v>
      </c>
      <c r="Z25" s="14">
        <f t="shared" ca="1" si="5"/>
        <v>7923.4089990158827</v>
      </c>
      <c r="AA25" s="14">
        <f t="shared" ca="1" si="5"/>
        <v>6990.9053545947809</v>
      </c>
      <c r="AB25" s="14">
        <f t="shared" ca="1" si="5"/>
        <v>6101.7591626304757</v>
      </c>
      <c r="AC25" s="14">
        <f t="shared" ca="1" si="5"/>
        <v>5252.5864639621268</v>
      </c>
      <c r="AD25" s="14">
        <f t="shared" ca="1" si="5"/>
        <v>4440.3604323020727</v>
      </c>
      <c r="AE25" s="14">
        <f t="shared" ca="1" si="5"/>
        <v>3662.3645968933811</v>
      </c>
      <c r="AF25" s="14">
        <f t="shared" ca="1" si="5"/>
        <v>2916.1533085316933</v>
      </c>
      <c r="AG25" s="14">
        <f t="shared" ca="1" si="5"/>
        <v>2199.5181642657853</v>
      </c>
    </row>
    <row r="27" spans="1:37" x14ac:dyDescent="0.45">
      <c r="A27" t="s">
        <v>253</v>
      </c>
    </row>
    <row r="28" spans="1:37" x14ac:dyDescent="0.45">
      <c r="B28">
        <v>0</v>
      </c>
      <c r="C28">
        <v>1</v>
      </c>
      <c r="D28">
        <v>2</v>
      </c>
      <c r="E28">
        <v>3</v>
      </c>
      <c r="F28">
        <v>4</v>
      </c>
      <c r="G28">
        <v>5</v>
      </c>
      <c r="H28">
        <v>6</v>
      </c>
      <c r="I28">
        <v>7</v>
      </c>
      <c r="J28">
        <v>8</v>
      </c>
      <c r="K28">
        <v>9</v>
      </c>
      <c r="L28">
        <v>10</v>
      </c>
      <c r="M28">
        <v>11</v>
      </c>
      <c r="N28">
        <v>12</v>
      </c>
      <c r="O28">
        <v>13</v>
      </c>
      <c r="P28">
        <v>14</v>
      </c>
      <c r="Q28">
        <v>15</v>
      </c>
      <c r="R28">
        <v>16</v>
      </c>
      <c r="S28">
        <v>17</v>
      </c>
      <c r="T28">
        <v>18</v>
      </c>
      <c r="U28">
        <v>19</v>
      </c>
      <c r="V28">
        <v>20</v>
      </c>
      <c r="W28">
        <v>21</v>
      </c>
      <c r="X28">
        <v>22</v>
      </c>
      <c r="Y28">
        <v>23</v>
      </c>
      <c r="Z28">
        <v>24</v>
      </c>
      <c r="AA28">
        <v>25</v>
      </c>
      <c r="AB28">
        <v>26</v>
      </c>
      <c r="AC28">
        <v>27</v>
      </c>
      <c r="AD28">
        <v>28</v>
      </c>
      <c r="AE28">
        <v>29</v>
      </c>
      <c r="AF28">
        <v>30</v>
      </c>
      <c r="AG28">
        <v>31</v>
      </c>
      <c r="AH28">
        <v>32</v>
      </c>
      <c r="AI28">
        <v>33</v>
      </c>
      <c r="AJ28">
        <v>34</v>
      </c>
      <c r="AK28">
        <v>35</v>
      </c>
    </row>
    <row r="29" spans="1:37" x14ac:dyDescent="0.45">
      <c r="A29" t="s">
        <v>249</v>
      </c>
      <c r="C29">
        <f ca="1" xml:space="preserve"> $B$5 * OFFSET(ResidualValue!C69,Dashboard!$B$4-10,0)</f>
        <v>445130.20741180587</v>
      </c>
      <c r="D29">
        <f ca="1" xml:space="preserve"> $B$5 * OFFSET(ResidualValue!D69,Dashboard!$B$4-10,0)</f>
        <v>406728.90038919874</v>
      </c>
      <c r="E29">
        <f ca="1" xml:space="preserve"> $B$5 * OFFSET(ResidualValue!E69,Dashboard!$B$4-10,0)</f>
        <v>371727.91261000943</v>
      </c>
      <c r="F29">
        <f ca="1" xml:space="preserve"> $B$5 * OFFSET(ResidualValue!F69,Dashboard!$B$4-10,0)</f>
        <v>339866.96174314164</v>
      </c>
      <c r="G29">
        <f ca="1" xml:space="preserve"> $B$5 * OFFSET(ResidualValue!G69,Dashboard!$B$4-10,0)</f>
        <v>311004.93694981025</v>
      </c>
      <c r="H29">
        <f ca="1" xml:space="preserve"> $B$5 * OFFSET(ResidualValue!H69,Dashboard!$B$4-10,0)</f>
        <v>284814.18058967486</v>
      </c>
      <c r="I29">
        <f ca="1" xml:space="preserve"> $B$5 * OFFSET(ResidualValue!I69,Dashboard!$B$4-10,0)</f>
        <v>261010.11012066324</v>
      </c>
      <c r="J29">
        <f ca="1" xml:space="preserve"> $B$5 * OFFSET(ResidualValue!J69,Dashboard!$B$4-10,0)</f>
        <v>239344.47890286078</v>
      </c>
      <c r="K29">
        <f ca="1" xml:space="preserve"> $B$5 * OFFSET(ResidualValue!K69,Dashboard!$B$4-10,0)</f>
        <v>219599.84152419257</v>
      </c>
      <c r="L29">
        <f ca="1" xml:space="preserve"> $B$5 * OFFSET(ResidualValue!L69,Dashboard!$B$4-10,0)</f>
        <v>201584.98650546934</v>
      </c>
      <c r="M29">
        <f ca="1" xml:space="preserve"> $B$5 * OFFSET(ResidualValue!M69,Dashboard!$B$4-10,0)</f>
        <v>185131.14964343634</v>
      </c>
      <c r="N29">
        <f ca="1" xml:space="preserve"> $B$5 * OFFSET(ResidualValue!N69,Dashboard!$B$4-10,0)</f>
        <v>170083.94595816391</v>
      </c>
      <c r="O29">
        <f ca="1" xml:space="preserve"> $B$5 * OFFSET(ResidualValue!O69,Dashboard!$B$4-10,0)</f>
        <v>156312.64970770126</v>
      </c>
      <c r="P29">
        <f ca="1" xml:space="preserve"> $B$5 * OFFSET(ResidualValue!P69,Dashboard!$B$4-10,0)</f>
        <v>143700.35977147194</v>
      </c>
      <c r="Q29">
        <f ca="1" xml:space="preserve"> $B$5 * OFFSET(ResidualValue!Q69,Dashboard!$B$4-10,0)</f>
        <v>132142.283765008</v>
      </c>
      <c r="R29">
        <f ca="1" xml:space="preserve"> $B$5 * OFFSET(ResidualValue!R69,Dashboard!$B$4-10,0)</f>
        <v>121544.27070018623</v>
      </c>
      <c r="S29">
        <f ca="1" xml:space="preserve"> $B$5 * OFFSET(ResidualValue!S69,Dashboard!$B$4-10,0)</f>
        <v>111821.5515223308</v>
      </c>
      <c r="T29">
        <f ca="1" xml:space="preserve"> $B$5 * OFFSET(ResidualValue!T69,Dashboard!$B$4-10,0)</f>
        <v>102898.70774677454</v>
      </c>
      <c r="U29">
        <f ca="1" xml:space="preserve"> $B$5 * OFFSET(ResidualValue!U69,Dashboard!$B$4-10,0)</f>
        <v>94706.184518932292</v>
      </c>
      <c r="V29">
        <f ca="1" xml:space="preserve"> $B$5 * OFFSET(ResidualValue!V69,Dashboard!$B$4-10,0)</f>
        <v>87181.099258687827</v>
      </c>
      <c r="W29">
        <f ca="1" xml:space="preserve"> $B$5 * OFFSET(ResidualValue!W69,Dashboard!$B$4-10,0)</f>
        <v>80266.501885733393</v>
      </c>
      <c r="X29">
        <f ca="1" xml:space="preserve"> $B$5 * OFFSET(ResidualValue!X69,Dashboard!$B$4-10,0)</f>
        <v>73910.731885189642</v>
      </c>
      <c r="Y29">
        <f ca="1" xml:space="preserve"> $B$5 * OFFSET(ResidualValue!Y69,Dashboard!$B$4-10,0)</f>
        <v>68066.857537635471</v>
      </c>
      <c r="Z29">
        <f ca="1" xml:space="preserve"> $B$5 * OFFSET(ResidualValue!Z69,Dashboard!$B$4-10,0)</f>
        <v>62692.185113052597</v>
      </c>
      <c r="AA29">
        <f ca="1" xml:space="preserve"> $B$5 * OFFSET(ResidualValue!AA69,Dashboard!$B$4-10,0)</f>
        <v>57747.827853345618</v>
      </c>
      <c r="AB29">
        <f ca="1" xml:space="preserve"> $B$5 * OFFSET(ResidualValue!AB69,Dashboard!$B$4-10,0)</f>
        <v>53198.326229924663</v>
      </c>
      <c r="AC29">
        <f ca="1" xml:space="preserve"> $B$5 * OFFSET(ResidualValue!AC69,Dashboard!$B$4-10,0)</f>
        <v>49011.312330522822</v>
      </c>
      <c r="AD29">
        <f ca="1" xml:space="preserve"> $B$5 * OFFSET(ResidualValue!AD69,Dashboard!$B$4-10,0)</f>
        <v>45157.212358257471</v>
      </c>
      <c r="AE29">
        <f ca="1" xml:space="preserve"> $B$5 * OFFSET(ResidualValue!AE69,Dashboard!$B$4-10,0)</f>
        <v>41608.982160266663</v>
      </c>
      <c r="AF29">
        <f ca="1" xml:space="preserve"> $B$5 * OFFSET(ResidualValue!AF69,Dashboard!$B$4-10,0)</f>
        <v>38341.871478725137</v>
      </c>
    </row>
    <row r="30" spans="1:37" x14ac:dyDescent="0.45">
      <c r="A30" t="s">
        <v>247</v>
      </c>
      <c r="C30">
        <f ca="1" xml:space="preserve"> $B$5 * OFFSET(ResidualValue!C31,MATCH(Dashboard!$B$20,Lists!$B$6:$B$11,0) + 6*$G$1,0) * $B$52</f>
        <v>363361.2036073677</v>
      </c>
      <c r="D30">
        <f ca="1" xml:space="preserve"> $B$5 * OFFSET(ResidualValue!D31,MATCH(Dashboard!$B$20,Lists!$B$6:$B$11,0) + 6*$G$1,0) * $B$52</f>
        <v>304649.61225278926</v>
      </c>
      <c r="E30">
        <f ca="1" xml:space="preserve"> $B$5 * OFFSET(ResidualValue!E31,MATCH(Dashboard!$B$20,Lists!$B$6:$B$11,0) + 6*$G$1,0) * $B$52</f>
        <v>249781.43140545441</v>
      </c>
      <c r="F30">
        <f ca="1" xml:space="preserve"> $B$5 * OFFSET(ResidualValue!F31,MATCH(Dashboard!$B$20,Lists!$B$6:$B$11,0) + 6*$G$1,0) * $B$52</f>
        <v>179434.92096765243</v>
      </c>
      <c r="G30">
        <f ca="1" xml:space="preserve"> $B$5 * OFFSET(ResidualValue!G31,MATCH(Dashboard!$B$20,Lists!$B$6:$B$11,0) + 6*$G$1,0) * $B$52</f>
        <v>166662.29728769709</v>
      </c>
      <c r="H30">
        <f ca="1" xml:space="preserve"> $B$5 * OFFSET(ResidualValue!H31,MATCH(Dashboard!$B$20,Lists!$B$6:$B$11,0) + 6*$G$1,0) * $B$52</f>
        <v>124051.21639472705</v>
      </c>
      <c r="I30">
        <f ca="1" xml:space="preserve"> $B$5 * OFFSET(ResidualValue!I31,MATCH(Dashboard!$B$20,Lists!$B$6:$B$11,0) + 6*$G$1,0) * $B$52</f>
        <v>97613.374236715797</v>
      </c>
      <c r="J30">
        <f ca="1" xml:space="preserve"> $B$5 * OFFSET(ResidualValue!J31,MATCH(Dashboard!$B$20,Lists!$B$6:$B$11,0) + 6*$G$1,0) * $B$52</f>
        <v>81491.827356636873</v>
      </c>
      <c r="K30">
        <f ca="1" xml:space="preserve"> $B$5 * OFFSET(ResidualValue!K31,MATCH(Dashboard!$B$20,Lists!$B$6:$B$11,0) + 6*$G$1,0) * $B$52</f>
        <v>65834.968929096169</v>
      </c>
      <c r="L30">
        <f ca="1" xml:space="preserve"> $B$5 * OFFSET(ResidualValue!L31,MATCH(Dashboard!$B$20,Lists!$B$6:$B$11,0) + 6*$G$1,0) * $B$52</f>
        <v>53186.230748353286</v>
      </c>
      <c r="M30">
        <f ca="1" xml:space="preserve"> $B$5 * OFFSET(ResidualValue!M31,MATCH(Dashboard!$B$20,Lists!$B$6:$B$11,0) + 6*$G$1,0) * $B$52</f>
        <v>42967.668812354917</v>
      </c>
      <c r="N30">
        <f ca="1" xml:space="preserve"> $B$5 * OFFSET(ResidualValue!N31,MATCH(Dashboard!$B$20,Lists!$B$6:$B$11,0) + 6*$G$1,0) * $B$52</f>
        <v>34712.378320311407</v>
      </c>
      <c r="O30">
        <f ca="1" xml:space="preserve"> $B$5 * OFFSET(ResidualValue!O31,MATCH(Dashboard!$B$20,Lists!$B$6:$B$11,0) + 6*$G$1,0) * $B$52</f>
        <v>28043.159937640219</v>
      </c>
      <c r="P30">
        <f ca="1" xml:space="preserve"> $B$5 * OFFSET(ResidualValue!P31,MATCH(Dashboard!$B$20,Lists!$B$6:$B$11,0) + 6*$G$1,0) * $B$52</f>
        <v>22655.284867874034</v>
      </c>
      <c r="Q30">
        <f ca="1" xml:space="preserve"> $B$5 * OFFSET(ResidualValue!Q31,MATCH(Dashboard!$B$20,Lists!$B$6:$B$11,0) + 6*$G$1,0) * $B$52</f>
        <v>18302.57123611842</v>
      </c>
      <c r="R30">
        <f ca="1" xml:space="preserve"> $B$5 * OFFSET(ResidualValue!R31,MATCH(Dashboard!$B$20,Lists!$B$6:$B$11,0) + 6*$G$1,0) * $B$52</f>
        <v>14786.135588531401</v>
      </c>
      <c r="S30">
        <f ca="1" xml:space="preserve"> $B$5 * OFFSET(ResidualValue!S31,MATCH(Dashboard!$B$20,Lists!$B$6:$B$11,0) + 6*$G$1,0) * $B$52</f>
        <v>11945.305543244618</v>
      </c>
      <c r="T30">
        <f ca="1" xml:space="preserve"> $B$5 * OFFSET(ResidualValue!T31,MATCH(Dashboard!$B$20,Lists!$B$6:$B$11,0) + 6*$G$1,0) * $B$52</f>
        <v>9650.2783751114694</v>
      </c>
      <c r="U30">
        <f ca="1" xml:space="preserve"> $B$5 * OFFSET(ResidualValue!U31,MATCH(Dashboard!$B$20,Lists!$B$6:$B$11,0) + 6*$G$1,0) * $B$52</f>
        <v>7796.1900915803881</v>
      </c>
      <c r="V30">
        <f ca="1" xml:space="preserve"> $B$5 * OFFSET(ResidualValue!V31,MATCH(Dashboard!$B$20,Lists!$B$6:$B$11,0) + 6*$G$1,0) * $B$52</f>
        <v>6298.3240049128817</v>
      </c>
      <c r="W30">
        <f ca="1" xml:space="preserve"> $B$5 * OFFSET(ResidualValue!W31,MATCH(Dashboard!$B$20,Lists!$B$6:$B$11,0) + 6*$G$1,0) * $B$52</f>
        <v>5088.2398716397183</v>
      </c>
      <c r="X30">
        <f ca="1" xml:space="preserve"> $B$5 * OFFSET(ResidualValue!X31,MATCH(Dashboard!$B$20,Lists!$B$6:$B$11,0) + 6*$G$1,0) * $B$52</f>
        <v>4110.6467325512403</v>
      </c>
      <c r="Y30">
        <f ca="1" xml:space="preserve"> $B$5 * OFFSET(ResidualValue!Y31,MATCH(Dashboard!$B$20,Lists!$B$6:$B$11,0) + 6*$G$1,0) * $B$52</f>
        <v>3320.8765675563368</v>
      </c>
      <c r="Z30">
        <f ca="1" xml:space="preserve"> $B$5 * OFFSET(ResidualValue!Z31,MATCH(Dashboard!$B$20,Lists!$B$6:$B$11,0) + 6*$G$1,0) * $B$52</f>
        <v>2682.8433320759159</v>
      </c>
      <c r="AA30">
        <f ca="1" xml:space="preserve"> $B$5 * OFFSET(ResidualValue!AA31,MATCH(Dashboard!$B$20,Lists!$B$6:$B$11,0) + 6*$G$1,0) * $B$52</f>
        <v>2167.394119607578</v>
      </c>
      <c r="AB30">
        <f ca="1" xml:space="preserve"> $B$5 * OFFSET(ResidualValue!AB31,MATCH(Dashboard!$B$20,Lists!$B$6:$B$11,0) + 6*$G$1,0) * $B$52</f>
        <v>1750.977112060669</v>
      </c>
      <c r="AC30">
        <f ca="1" xml:space="preserve"> $B$5 * OFFSET(ResidualValue!AC31,MATCH(Dashboard!$B$20,Lists!$B$6:$B$11,0) + 6*$G$1,0) * $B$52</f>
        <v>1414.5654540741425</v>
      </c>
      <c r="AD30">
        <f ca="1" xml:space="preserve"> $B$5 * OFFSET(ResidualValue!AD31,MATCH(Dashboard!$B$20,Lists!$B$6:$B$11,0) + 6*$G$1,0) * $B$52</f>
        <v>1142.7878811648645</v>
      </c>
      <c r="AE30">
        <f ca="1" xml:space="preserve"> $B$5 * OFFSET(ResidualValue!AE31,MATCH(Dashboard!$B$20,Lists!$B$6:$B$11,0) + 6*$G$1,0) * $B$52</f>
        <v>923.22637851498882</v>
      </c>
      <c r="AF30">
        <f ca="1" xml:space="preserve"> $B$5 * OFFSET(ResidualValue!AF31,MATCH(Dashboard!$B$20,Lists!$B$6:$B$11,0) + 6*$G$1,0) * $B$52</f>
        <v>745.84877914271203</v>
      </c>
    </row>
    <row r="32" spans="1:37" x14ac:dyDescent="0.45">
      <c r="A32" t="s">
        <v>42</v>
      </c>
      <c r="B32">
        <v>1</v>
      </c>
      <c r="C32">
        <v>0.7141551581598119</v>
      </c>
      <c r="D32">
        <v>0.62918270232652318</v>
      </c>
      <c r="E32">
        <v>0.56862764314747349</v>
      </c>
      <c r="F32">
        <v>0.51791781300716999</v>
      </c>
      <c r="G32">
        <v>0.44478527588245487</v>
      </c>
      <c r="H32">
        <v>0.39785362286649772</v>
      </c>
      <c r="I32">
        <v>0.33906700990216254</v>
      </c>
      <c r="J32">
        <v>0.30681065082618264</v>
      </c>
      <c r="K32">
        <v>0.27205377827697719</v>
      </c>
      <c r="L32">
        <v>0.24123431854622734</v>
      </c>
      <c r="M32">
        <v>0.21390622403051326</v>
      </c>
      <c r="N32">
        <v>0.1896739773790686</v>
      </c>
      <c r="O32">
        <v>0.16818686720244047</v>
      </c>
      <c r="P32">
        <v>0.14913391225428546</v>
      </c>
      <c r="Q32">
        <v>0.1322393606243841</v>
      </c>
      <c r="R32">
        <v>0.11725869880305109</v>
      </c>
      <c r="S32">
        <v>0.10397511285644638</v>
      </c>
      <c r="T32">
        <v>9.2196350495656942E-2</v>
      </c>
      <c r="U32">
        <v>8.175193862452261E-2</v>
      </c>
      <c r="V32">
        <v>7.2490716095997179E-2</v>
      </c>
      <c r="W32">
        <v>6.4278645968820894E-2</v>
      </c>
      <c r="X32">
        <v>5.6996875601469765E-2</v>
      </c>
      <c r="Y32">
        <v>5.0540016507273876E-2</v>
      </c>
      <c r="Z32">
        <v>4.481461907518397E-2</v>
      </c>
      <c r="AA32">
        <v>3.9737820080941108E-2</v>
      </c>
      <c r="AB32">
        <v>3.5236143414184858E-2</v>
      </c>
      <c r="AC32">
        <v>3.1244436664518673E-2</v>
      </c>
      <c r="AD32">
        <v>2.7704928175826645E-2</v>
      </c>
      <c r="AE32">
        <v>2.4566390921663236E-2</v>
      </c>
      <c r="AF32">
        <v>2.178340110055061E-2</v>
      </c>
    </row>
    <row r="33" spans="1:32" x14ac:dyDescent="0.45">
      <c r="A33" t="s">
        <v>43</v>
      </c>
      <c r="B33">
        <v>1</v>
      </c>
      <c r="C33">
        <v>0.7141551581598119</v>
      </c>
      <c r="D33">
        <v>0.62918270232652318</v>
      </c>
      <c r="E33">
        <v>0.56862764314747349</v>
      </c>
      <c r="F33">
        <v>0.51791781300716999</v>
      </c>
      <c r="G33">
        <v>0.44478527588245487</v>
      </c>
      <c r="H33">
        <v>0.39785362286649772</v>
      </c>
      <c r="I33">
        <v>0.33906700990216254</v>
      </c>
      <c r="J33">
        <v>0.30681065082618264</v>
      </c>
      <c r="K33">
        <v>0.27205377827697719</v>
      </c>
      <c r="L33">
        <v>0.24123431854622734</v>
      </c>
      <c r="M33">
        <v>0.21390622403051326</v>
      </c>
      <c r="N33">
        <v>0.1896739773790686</v>
      </c>
      <c r="O33">
        <v>0.16818686720244047</v>
      </c>
      <c r="P33">
        <v>0.14913391225428546</v>
      </c>
      <c r="Q33">
        <v>0.1322393606243841</v>
      </c>
      <c r="R33">
        <v>0.11725869880305109</v>
      </c>
      <c r="S33">
        <v>0.10397511285644638</v>
      </c>
      <c r="T33">
        <v>9.2196350495656942E-2</v>
      </c>
      <c r="U33">
        <v>8.175193862452261E-2</v>
      </c>
      <c r="V33">
        <v>7.2490716095997179E-2</v>
      </c>
      <c r="W33">
        <v>6.4278645968820894E-2</v>
      </c>
      <c r="X33">
        <v>5.6996875601469765E-2</v>
      </c>
      <c r="Y33">
        <v>5.0540016507273876E-2</v>
      </c>
      <c r="Z33">
        <v>4.481461907518397E-2</v>
      </c>
      <c r="AA33">
        <v>3.9737820080941108E-2</v>
      </c>
      <c r="AB33">
        <v>3.5236143414184858E-2</v>
      </c>
      <c r="AC33">
        <v>3.1244436664518673E-2</v>
      </c>
      <c r="AD33">
        <v>2.7704928175826645E-2</v>
      </c>
      <c r="AE33">
        <v>2.4566390921663236E-2</v>
      </c>
      <c r="AF33">
        <v>2.178340110055061E-2</v>
      </c>
    </row>
    <row r="34" spans="1:32" x14ac:dyDescent="0.45">
      <c r="A34" t="s">
        <v>427</v>
      </c>
      <c r="B34">
        <v>1</v>
      </c>
      <c r="C34">
        <v>0.69929794653284061</v>
      </c>
      <c r="D34">
        <v>0.61386866858358968</v>
      </c>
      <c r="E34">
        <v>0.56045243199097927</v>
      </c>
      <c r="F34">
        <v>0.50276631089843571</v>
      </c>
      <c r="G34">
        <v>0.45293576575301614</v>
      </c>
      <c r="H34">
        <v>0.38962756713101038</v>
      </c>
      <c r="I34">
        <v>0.30392551472485019</v>
      </c>
      <c r="J34">
        <v>0.28505395481857992</v>
      </c>
      <c r="K34">
        <v>0.25058880172185133</v>
      </c>
      <c r="L34">
        <v>0.22029074316249522</v>
      </c>
      <c r="M34">
        <v>0.19365594627388652</v>
      </c>
      <c r="N34">
        <v>0.17024149534767785</v>
      </c>
      <c r="O34">
        <v>0.14965802649418317</v>
      </c>
      <c r="P34">
        <v>0.13156325282735559</v>
      </c>
      <c r="Q34">
        <v>0.11565627250328231</v>
      </c>
      <c r="R34">
        <v>0.10167256495935607</v>
      </c>
      <c r="S34">
        <v>8.9379592145519882E-2</v>
      </c>
      <c r="T34">
        <v>7.8572931599522361E-2</v>
      </c>
      <c r="U34">
        <v>6.9072877062268792E-2</v>
      </c>
      <c r="V34">
        <v>6.0721450104176865E-2</v>
      </c>
      <c r="W34">
        <v>5.3379773068235548E-2</v>
      </c>
      <c r="X34">
        <v>4.6925759643877824E-2</v>
      </c>
      <c r="Y34">
        <v>4.1252084667728645E-2</v>
      </c>
      <c r="Z34">
        <v>3.6264399390612087E-2</v>
      </c>
      <c r="AA34">
        <v>3.1879762532113436E-2</v>
      </c>
      <c r="AB34">
        <v>2.8025261032367802E-2</v>
      </c>
      <c r="AC34">
        <v>2.4636797565263557E-2</v>
      </c>
      <c r="AD34">
        <v>2.1658024650359334E-2</v>
      </c>
      <c r="AE34">
        <v>1.9039407638634563E-2</v>
      </c>
      <c r="AF34">
        <v>1.673740099026445E-2</v>
      </c>
    </row>
    <row r="35" spans="1:32" x14ac:dyDescent="0.45">
      <c r="A35" t="s">
        <v>44</v>
      </c>
      <c r="B35">
        <v>1</v>
      </c>
      <c r="C35">
        <v>0.80899524210024909</v>
      </c>
      <c r="D35">
        <v>0.69914738874842863</v>
      </c>
      <c r="E35">
        <v>0.62550676189305809</v>
      </c>
      <c r="F35">
        <v>0.45441275123843244</v>
      </c>
      <c r="G35">
        <v>0.36581261654915198</v>
      </c>
      <c r="H35">
        <v>0.32005423941601902</v>
      </c>
      <c r="I35">
        <v>0.27943046161126861</v>
      </c>
      <c r="J35">
        <v>0.23033925978196537</v>
      </c>
      <c r="K35">
        <v>0.19206540350883339</v>
      </c>
      <c r="L35">
        <v>0.16015124499370836</v>
      </c>
      <c r="M35">
        <v>0.13354003794782957</v>
      </c>
      <c r="N35">
        <v>0.11135062818780046</v>
      </c>
      <c r="O35">
        <v>9.2848276729273635E-2</v>
      </c>
      <c r="P35">
        <v>7.742033100214038E-2</v>
      </c>
      <c r="Q35">
        <v>6.455593860894128E-2</v>
      </c>
      <c r="R35">
        <v>5.3829131905496264E-2</v>
      </c>
      <c r="S35">
        <v>4.4884723297911863E-2</v>
      </c>
      <c r="T35">
        <v>3.7426544218975351E-2</v>
      </c>
      <c r="U35">
        <v>3.1207638351200044E-2</v>
      </c>
      <c r="V35">
        <v>2.6022084373088179E-2</v>
      </c>
      <c r="W35">
        <v>2.1698177462187922E-2</v>
      </c>
      <c r="X35">
        <v>1.8092743779876002E-2</v>
      </c>
      <c r="Y35">
        <v>1.508639967825362E-2</v>
      </c>
      <c r="Z35">
        <v>1.2579598651320249E-2</v>
      </c>
      <c r="AA35">
        <v>1.0489335136494048E-2</v>
      </c>
      <c r="AB35">
        <v>8.7463960222722344E-3</v>
      </c>
      <c r="AC35">
        <v>7.2930688535506804E-3</v>
      </c>
      <c r="AD35">
        <v>6.0812308483618261E-3</v>
      </c>
      <c r="AE35">
        <v>5.0707554492733014E-3</v>
      </c>
      <c r="AF35">
        <v>4.2281836469440018E-3</v>
      </c>
    </row>
    <row r="36" spans="1:32" x14ac:dyDescent="0.45">
      <c r="A36" t="s">
        <v>45</v>
      </c>
      <c r="B36">
        <v>1</v>
      </c>
      <c r="C36">
        <v>0.57011984110401437</v>
      </c>
      <c r="D36">
        <v>0.48584542991238955</v>
      </c>
      <c r="E36">
        <v>0.42811825772930234</v>
      </c>
      <c r="F36">
        <v>0.25867906820848002</v>
      </c>
      <c r="G36">
        <v>0.24073590744498957</v>
      </c>
      <c r="H36">
        <v>0.19369082926508199</v>
      </c>
      <c r="I36">
        <v>0.15583939155386672</v>
      </c>
      <c r="J36">
        <v>0.12538495525073148</v>
      </c>
      <c r="K36">
        <v>0.10088198398665946</v>
      </c>
      <c r="L36">
        <v>8.1167430914924274E-2</v>
      </c>
      <c r="M36">
        <v>6.5305534060474235E-2</v>
      </c>
      <c r="N36">
        <v>5.2543399869264373E-2</v>
      </c>
      <c r="O36">
        <v>4.2275266706568067E-2</v>
      </c>
      <c r="P36">
        <v>3.4013752051794736E-2</v>
      </c>
      <c r="Q36">
        <v>2.7366718622291352E-2</v>
      </c>
      <c r="R36">
        <v>2.2018661364121721E-2</v>
      </c>
      <c r="S36">
        <v>1.7715731833226035E-2</v>
      </c>
      <c r="T36">
        <v>1.4253689141074489E-2</v>
      </c>
      <c r="U36">
        <v>1.1468205549902369E-2</v>
      </c>
      <c r="V36">
        <v>9.2270665673362014E-3</v>
      </c>
      <c r="W36">
        <v>7.4238953136638091E-3</v>
      </c>
      <c r="X36">
        <v>5.9731032854302485E-3</v>
      </c>
      <c r="Y36">
        <v>4.805827850609865E-3</v>
      </c>
      <c r="Z36">
        <v>3.8666636463551172E-3</v>
      </c>
      <c r="AA36">
        <v>3.1110327333399891E-3</v>
      </c>
      <c r="AB36">
        <v>2.5030686796448597E-3</v>
      </c>
      <c r="AC36">
        <v>2.0139141410745009E-3</v>
      </c>
      <c r="AD36">
        <v>1.6203511316338702E-3</v>
      </c>
      <c r="AE36">
        <v>1.3036989692054772E-3</v>
      </c>
      <c r="AF36">
        <v>1.0489275868210209E-3</v>
      </c>
    </row>
    <row r="37" spans="1:32" x14ac:dyDescent="0.45">
      <c r="A37" t="s">
        <v>46</v>
      </c>
      <c r="B37">
        <v>1</v>
      </c>
      <c r="C37">
        <v>0.74582973057720259</v>
      </c>
      <c r="D37">
        <v>0.62531920296165566</v>
      </c>
      <c r="E37">
        <v>0.5126976018320869</v>
      </c>
      <c r="F37">
        <v>0.36830541464755395</v>
      </c>
      <c r="G37">
        <v>0.34208851976881866</v>
      </c>
      <c r="H37">
        <v>0.25462565728791392</v>
      </c>
      <c r="I37">
        <v>0.20035974089949651</v>
      </c>
      <c r="J37">
        <v>0.16726889672932599</v>
      </c>
      <c r="K37">
        <v>0.1351318650738603</v>
      </c>
      <c r="L37">
        <v>0.10916925570382201</v>
      </c>
      <c r="M37">
        <v>8.8194789470362009E-2</v>
      </c>
      <c r="N37">
        <v>7.1250104615755497E-2</v>
      </c>
      <c r="O37">
        <v>5.7560967470329884E-2</v>
      </c>
      <c r="P37">
        <v>4.6501896298798071E-2</v>
      </c>
      <c r="Q37">
        <v>3.7567581894776263E-2</v>
      </c>
      <c r="R37">
        <v>3.0349799078133483E-2</v>
      </c>
      <c r="S37">
        <v>2.4518754139221072E-2</v>
      </c>
      <c r="T37">
        <v>1.9808015960563741E-2</v>
      </c>
      <c r="U37">
        <v>1.6002342291377626E-2</v>
      </c>
      <c r="V37">
        <v>1.2927844935113082E-2</v>
      </c>
      <c r="W37">
        <v>1.0444044479437326E-2</v>
      </c>
      <c r="X37">
        <v>8.4374515347256651E-3</v>
      </c>
      <c r="Y37">
        <v>6.8163811960976969E-3</v>
      </c>
      <c r="Z37">
        <v>5.5067637922763986E-3</v>
      </c>
      <c r="AA37">
        <v>4.4487605067167818E-3</v>
      </c>
      <c r="AB37">
        <v>3.5940292325379593E-3</v>
      </c>
      <c r="AC37">
        <v>2.9035157331654756E-3</v>
      </c>
      <c r="AD37">
        <v>2.3456691827701795E-3</v>
      </c>
      <c r="AE37">
        <v>1.8950005512796545E-3</v>
      </c>
      <c r="AF37">
        <v>1.5309179639344001E-3</v>
      </c>
    </row>
    <row r="38" spans="1:32" x14ac:dyDescent="0.45">
      <c r="A38" t="s">
        <v>188</v>
      </c>
      <c r="B38">
        <v>1</v>
      </c>
      <c r="C38">
        <v>0.67060910476029845</v>
      </c>
      <c r="D38">
        <v>0.58528316674755632</v>
      </c>
      <c r="E38">
        <v>0.50802477731349249</v>
      </c>
      <c r="F38">
        <v>0.43128952516475438</v>
      </c>
      <c r="G38">
        <v>0.3695957380974374</v>
      </c>
      <c r="H38">
        <v>0.30911273711321646</v>
      </c>
      <c r="I38">
        <v>0.26682506820614604</v>
      </c>
      <c r="J38">
        <v>0.22664457902319171</v>
      </c>
      <c r="K38">
        <v>0.19372451422431478</v>
      </c>
      <c r="L38">
        <v>0.1655860800782997</v>
      </c>
      <c r="M38">
        <v>0.14153474600508606</v>
      </c>
      <c r="N38">
        <v>0.12097686180657077</v>
      </c>
      <c r="O38">
        <v>0.10340500481797026</v>
      </c>
      <c r="P38">
        <v>8.8385455381548794E-2</v>
      </c>
      <c r="Q38">
        <v>7.5547491504455153E-2</v>
      </c>
      <c r="R38">
        <v>6.4574238464660288E-2</v>
      </c>
      <c r="S38">
        <v>5.5194847509197696E-2</v>
      </c>
      <c r="T38">
        <v>4.7177810594403506E-2</v>
      </c>
      <c r="U38">
        <v>4.0325246158357662E-2</v>
      </c>
      <c r="V38">
        <v>3.4468014883357885E-2</v>
      </c>
      <c r="W38">
        <v>2.9461544892594567E-2</v>
      </c>
      <c r="X38">
        <v>2.5182263335897855E-2</v>
      </c>
      <c r="Y38">
        <v>2.1524546286705554E-2</v>
      </c>
      <c r="Z38">
        <v>1.8398111665684828E-2</v>
      </c>
      <c r="AA38">
        <v>1.5725790841504238E-2</v>
      </c>
      <c r="AB38">
        <v>1.3441623906000651E-2</v>
      </c>
      <c r="AC38">
        <v>1.1489231610121404E-2</v>
      </c>
      <c r="AD38">
        <v>9.8204237757376894E-3</v>
      </c>
      <c r="AE38">
        <v>8.3940098352717433E-3</v>
      </c>
      <c r="AF38">
        <v>7.1747821401267377E-3</v>
      </c>
    </row>
    <row r="39" spans="1:32" x14ac:dyDescent="0.45">
      <c r="A39" t="s">
        <v>189</v>
      </c>
      <c r="B39">
        <v>1</v>
      </c>
      <c r="C39">
        <v>0.67060910476029845</v>
      </c>
      <c r="D39">
        <v>0.58528316674755632</v>
      </c>
      <c r="E39">
        <v>0.50802477731349249</v>
      </c>
      <c r="F39">
        <v>0.43128952516475438</v>
      </c>
      <c r="G39">
        <v>0.3695957380974374</v>
      </c>
      <c r="H39">
        <v>0.30911273711321646</v>
      </c>
      <c r="I39">
        <v>0.26682506820614604</v>
      </c>
      <c r="J39">
        <v>0.22664457902319171</v>
      </c>
      <c r="K39">
        <v>0.19372451422431478</v>
      </c>
      <c r="L39">
        <v>0.1655860800782997</v>
      </c>
      <c r="M39">
        <v>0.14153474600508606</v>
      </c>
      <c r="N39">
        <v>0.12097686180657077</v>
      </c>
      <c r="O39">
        <v>0.10340500481797026</v>
      </c>
      <c r="P39">
        <v>8.8385455381548794E-2</v>
      </c>
      <c r="Q39">
        <v>7.5547491504455153E-2</v>
      </c>
      <c r="R39">
        <v>6.4574238464660288E-2</v>
      </c>
      <c r="S39">
        <v>5.5194847509197696E-2</v>
      </c>
      <c r="T39">
        <v>4.7177810594403506E-2</v>
      </c>
      <c r="U39">
        <v>4.0325246158357662E-2</v>
      </c>
      <c r="V39">
        <v>3.4468014883357885E-2</v>
      </c>
      <c r="W39">
        <v>2.9461544892594567E-2</v>
      </c>
      <c r="X39">
        <v>2.5182263335897855E-2</v>
      </c>
      <c r="Y39">
        <v>2.1524546286705554E-2</v>
      </c>
      <c r="Z39">
        <v>1.8398111665684828E-2</v>
      </c>
      <c r="AA39">
        <v>1.5725790841504238E-2</v>
      </c>
      <c r="AB39">
        <v>1.3441623906000651E-2</v>
      </c>
      <c r="AC39">
        <v>1.1489231610121404E-2</v>
      </c>
      <c r="AD39">
        <v>9.8204237757376894E-3</v>
      </c>
      <c r="AE39">
        <v>8.3940098352717433E-3</v>
      </c>
      <c r="AF39">
        <v>7.1747821401267377E-3</v>
      </c>
    </row>
    <row r="40" spans="1:32" x14ac:dyDescent="0.45">
      <c r="A40" t="s">
        <v>432</v>
      </c>
      <c r="B40">
        <v>1</v>
      </c>
      <c r="C40">
        <v>0.67932687573648343</v>
      </c>
      <c r="D40">
        <v>0.60139370202791287</v>
      </c>
      <c r="E40">
        <v>0.54264230578246397</v>
      </c>
      <c r="F40">
        <v>0.48785353572143897</v>
      </c>
      <c r="G40">
        <v>0.42418694575124238</v>
      </c>
      <c r="H40">
        <v>0.35441111033676276</v>
      </c>
      <c r="I40">
        <v>0.3142510621308568</v>
      </c>
      <c r="J40">
        <v>0.28042539379296405</v>
      </c>
      <c r="K40">
        <v>0.24683433397958918</v>
      </c>
      <c r="L40">
        <v>0.21726701568307133</v>
      </c>
      <c r="M40">
        <v>0.19124145066355056</v>
      </c>
      <c r="N40">
        <v>0.16833338616501689</v>
      </c>
      <c r="O40">
        <v>0.14816938900778481</v>
      </c>
      <c r="P40">
        <v>0.13042075811044776</v>
      </c>
      <c r="Q40">
        <v>0.11479816620699061</v>
      </c>
      <c r="R40">
        <v>0.10104694341162646</v>
      </c>
      <c r="S40">
        <v>8.8942925746933021E-2</v>
      </c>
      <c r="T40">
        <v>7.8288800960546606E-2</v>
      </c>
      <c r="U40">
        <v>6.8910892062165274E-2</v>
      </c>
      <c r="V40">
        <v>6.0656326148059068E-2</v>
      </c>
      <c r="W40">
        <v>5.3390542361005502E-2</v>
      </c>
      <c r="X40">
        <v>4.6995098361946187E-2</v>
      </c>
      <c r="Y40">
        <v>4.1365739555813776E-2</v>
      </c>
      <c r="Z40">
        <v>3.6410699597236765E-2</v>
      </c>
      <c r="AA40">
        <v>3.2049204472010734E-2</v>
      </c>
      <c r="AB40">
        <v>2.8210155768792301E-2</v>
      </c>
      <c r="AC40">
        <v>2.4830971676520916E-2</v>
      </c>
      <c r="AD40">
        <v>2.1856566814220744E-2</v>
      </c>
      <c r="AE40">
        <v>1.923845426299596E-2</v>
      </c>
      <c r="AF40">
        <v>1.6933955162096809E-2</v>
      </c>
    </row>
    <row r="41" spans="1:32" x14ac:dyDescent="0.45">
      <c r="A41" t="s">
        <v>190</v>
      </c>
      <c r="B41">
        <v>1</v>
      </c>
      <c r="C41">
        <v>0.73651931387549197</v>
      </c>
      <c r="D41">
        <v>0.64477566859547453</v>
      </c>
      <c r="E41">
        <v>0.54174335194874867</v>
      </c>
      <c r="F41">
        <v>0.47062205019188397</v>
      </c>
      <c r="G41">
        <v>0.39073065988949707</v>
      </c>
      <c r="H41">
        <v>0.33750484155302268</v>
      </c>
      <c r="I41">
        <v>0.2980816769569668</v>
      </c>
      <c r="J41">
        <v>0.25035473855521323</v>
      </c>
      <c r="K41">
        <v>0.21461034966895295</v>
      </c>
      <c r="L41">
        <v>0.18396936463366642</v>
      </c>
      <c r="M41">
        <v>0.15770314514617806</v>
      </c>
      <c r="N41">
        <v>0.1351870842111135</v>
      </c>
      <c r="O41">
        <v>0.11588575307463106</v>
      </c>
      <c r="P41">
        <v>9.9340168804161119E-2</v>
      </c>
      <c r="Q41">
        <v>8.5156879738995023E-2</v>
      </c>
      <c r="R41">
        <v>7.2998609265277417E-2</v>
      </c>
      <c r="S41">
        <v>6.2576235425691434E-2</v>
      </c>
      <c r="T41">
        <v>5.3641915640085309E-2</v>
      </c>
      <c r="U41">
        <v>4.5983193043866839E-2</v>
      </c>
      <c r="V41">
        <v>3.9417944293723993E-2</v>
      </c>
      <c r="W41">
        <v>3.3790048700203669E-2</v>
      </c>
      <c r="X41">
        <v>2.8965675699732636E-2</v>
      </c>
      <c r="Y41">
        <v>2.4830102382688339E-2</v>
      </c>
      <c r="Z41">
        <v>2.1284985398786184E-2</v>
      </c>
      <c r="AA41">
        <v>1.8246022366078113E-2</v>
      </c>
      <c r="AB41">
        <v>1.5640947172198116E-2</v>
      </c>
      <c r="AC41">
        <v>1.340781149640102E-2</v>
      </c>
      <c r="AD41">
        <v>1.1493511687231093E-2</v>
      </c>
      <c r="AE41">
        <v>9.8525259651790972E-3</v>
      </c>
      <c r="AF41">
        <v>8.4458319211849209E-3</v>
      </c>
    </row>
    <row r="42" spans="1:32" x14ac:dyDescent="0.45">
      <c r="A42" t="s">
        <v>191</v>
      </c>
      <c r="B42">
        <v>1</v>
      </c>
      <c r="C42">
        <v>0.57011984110401437</v>
      </c>
      <c r="D42">
        <v>0.48584542991238955</v>
      </c>
      <c r="E42">
        <v>0.42811825772930234</v>
      </c>
      <c r="F42">
        <v>0.25867906820848002</v>
      </c>
      <c r="G42">
        <v>0.24073590744498957</v>
      </c>
      <c r="H42">
        <v>0.19369082926508199</v>
      </c>
      <c r="I42">
        <v>0.15583939155386672</v>
      </c>
      <c r="J42">
        <v>0.12538495525073148</v>
      </c>
      <c r="K42">
        <v>0.10088198398665946</v>
      </c>
      <c r="L42">
        <v>8.1167430914924274E-2</v>
      </c>
      <c r="M42">
        <v>6.5305534060474235E-2</v>
      </c>
      <c r="N42">
        <v>5.2543399869264373E-2</v>
      </c>
      <c r="O42">
        <v>4.2275266706568067E-2</v>
      </c>
      <c r="P42">
        <v>3.4013752051794736E-2</v>
      </c>
      <c r="Q42">
        <v>2.7366718622291352E-2</v>
      </c>
      <c r="R42">
        <v>2.2018661364121721E-2</v>
      </c>
      <c r="S42">
        <v>1.7715731833226035E-2</v>
      </c>
      <c r="T42">
        <v>1.4253689141074489E-2</v>
      </c>
      <c r="U42">
        <v>1.1468205549902369E-2</v>
      </c>
      <c r="V42">
        <v>9.2270665673362014E-3</v>
      </c>
      <c r="W42">
        <v>7.4238953136638091E-3</v>
      </c>
      <c r="X42">
        <v>5.9731032854302485E-3</v>
      </c>
      <c r="Y42">
        <v>4.805827850609865E-3</v>
      </c>
      <c r="Z42">
        <v>3.8666636463551172E-3</v>
      </c>
      <c r="AA42">
        <v>3.1110327333399891E-3</v>
      </c>
      <c r="AB42">
        <v>2.5030686796448597E-3</v>
      </c>
      <c r="AC42">
        <v>2.0139141410745009E-3</v>
      </c>
      <c r="AD42">
        <v>1.6203511316338702E-3</v>
      </c>
      <c r="AE42">
        <v>1.3036989692054772E-3</v>
      </c>
      <c r="AF42">
        <v>1.0489275868210209E-3</v>
      </c>
    </row>
    <row r="43" spans="1:32" x14ac:dyDescent="0.45">
      <c r="A43" t="s">
        <v>192</v>
      </c>
      <c r="B43">
        <v>1</v>
      </c>
      <c r="C43">
        <v>0.79657773535619325</v>
      </c>
      <c r="D43">
        <v>0.6973184277027914</v>
      </c>
      <c r="E43">
        <v>0.59205826903916703</v>
      </c>
      <c r="F43">
        <v>0.43663651347402094</v>
      </c>
      <c r="G43">
        <v>0.35362186650239424</v>
      </c>
      <c r="H43">
        <v>0.31105158906315156</v>
      </c>
      <c r="I43">
        <v>0.28806745165098818</v>
      </c>
      <c r="J43">
        <v>0.21159797212935325</v>
      </c>
      <c r="K43">
        <v>0.17472598911921292</v>
      </c>
      <c r="L43">
        <v>0.1442791297405456</v>
      </c>
      <c r="M43">
        <v>0.11913778473153427</v>
      </c>
      <c r="N43">
        <v>9.8377442227866624E-2</v>
      </c>
      <c r="O43">
        <v>8.1234691085669983E-2</v>
      </c>
      <c r="P43">
        <v>6.7079148291933982E-2</v>
      </c>
      <c r="Q43">
        <v>5.5390278161161252E-2</v>
      </c>
      <c r="R43">
        <v>4.5738250900537188E-2</v>
      </c>
      <c r="S43">
        <v>3.7768136663869627E-2</v>
      </c>
      <c r="T43">
        <v>3.1186853869044212E-2</v>
      </c>
      <c r="U43">
        <v>2.5752391835087849E-2</v>
      </c>
      <c r="V43">
        <v>2.1264911427509244E-2</v>
      </c>
      <c r="W43">
        <v>1.7559396459776288E-2</v>
      </c>
      <c r="X43">
        <v>1.449958562407795E-2</v>
      </c>
      <c r="Y43">
        <v>1.197296181287124E-2</v>
      </c>
      <c r="Z43">
        <v>9.8866145756899091E-3</v>
      </c>
      <c r="AA43">
        <v>8.1638235631191665E-3</v>
      </c>
      <c r="AB43">
        <v>6.7412373223914076E-3</v>
      </c>
      <c r="AC43">
        <v>5.5665437016671517E-3</v>
      </c>
      <c r="AD43">
        <v>4.5965461977799131E-3</v>
      </c>
      <c r="AE43">
        <v>3.795575509808205E-3</v>
      </c>
      <c r="AF43">
        <v>3.1341778872175734E-3</v>
      </c>
    </row>
    <row r="45" spans="1:32" x14ac:dyDescent="0.45">
      <c r="A45" t="s">
        <v>245</v>
      </c>
      <c r="F45" t="s">
        <v>355</v>
      </c>
    </row>
    <row r="46" spans="1:32" x14ac:dyDescent="0.45">
      <c r="A46" t="s">
        <v>42</v>
      </c>
      <c r="B46" s="37">
        <v>3.1668000000000002E-2</v>
      </c>
      <c r="F46" t="s">
        <v>42</v>
      </c>
      <c r="G46" s="45">
        <v>0.8027786119176723</v>
      </c>
      <c r="H46" s="58">
        <v>-0.1202310237449075</v>
      </c>
      <c r="J46" t="s">
        <v>188</v>
      </c>
      <c r="K46" s="57">
        <v>0.79548387130747145</v>
      </c>
      <c r="L46" s="58">
        <v>-0.15694593917403224</v>
      </c>
    </row>
    <row r="47" spans="1:32" x14ac:dyDescent="0.45">
      <c r="A47" t="s">
        <v>43</v>
      </c>
      <c r="B47" s="37">
        <v>3.1668000000000002E-2</v>
      </c>
      <c r="F47" t="s">
        <v>43</v>
      </c>
      <c r="G47" s="45">
        <v>0.8027786119176723</v>
      </c>
      <c r="H47" s="58">
        <v>-0.1202310237449075</v>
      </c>
      <c r="J47" t="s">
        <v>189</v>
      </c>
      <c r="K47" s="57">
        <v>0.79548387130747145</v>
      </c>
      <c r="L47" s="58">
        <v>-0.15694593917403224</v>
      </c>
    </row>
    <row r="48" spans="1:32" x14ac:dyDescent="0.45">
      <c r="A48" t="s">
        <v>427</v>
      </c>
      <c r="B48" s="37">
        <v>0.22572999999999999</v>
      </c>
      <c r="F48" t="s">
        <v>427</v>
      </c>
      <c r="G48" s="45">
        <v>0.7991905898134396</v>
      </c>
      <c r="H48" s="58">
        <v>-0.12886512190670063</v>
      </c>
      <c r="J48" t="s">
        <v>432</v>
      </c>
      <c r="K48" s="45">
        <v>0.77823632095031636</v>
      </c>
      <c r="L48" s="58">
        <v>-0.12759031483586838</v>
      </c>
    </row>
    <row r="49" spans="1:32" x14ac:dyDescent="0.45">
      <c r="A49" t="s">
        <v>44</v>
      </c>
      <c r="B49" s="37">
        <v>7.5853000000000004E-2</v>
      </c>
      <c r="F49" t="s">
        <v>44</v>
      </c>
      <c r="G49" s="45">
        <v>0.98564053921676542</v>
      </c>
      <c r="H49" s="58">
        <v>-0.18171730734963196</v>
      </c>
      <c r="J49" t="s">
        <v>190</v>
      </c>
      <c r="K49" s="45">
        <v>0.85861218107976212</v>
      </c>
      <c r="L49" s="58">
        <v>-0.15405480956406709</v>
      </c>
    </row>
    <row r="50" spans="1:32" x14ac:dyDescent="0.45">
      <c r="A50" t="s">
        <v>45</v>
      </c>
      <c r="B50" s="37">
        <v>0.141017</v>
      </c>
      <c r="F50" t="s">
        <v>45</v>
      </c>
      <c r="G50" s="45">
        <v>0.71400285163770805</v>
      </c>
      <c r="H50" s="58">
        <v>-0.21743728866221282</v>
      </c>
      <c r="J50" t="s">
        <v>191</v>
      </c>
      <c r="K50" s="45">
        <v>0.71400285163770805</v>
      </c>
      <c r="L50" s="58">
        <v>-0.21743728866221282</v>
      </c>
    </row>
    <row r="51" spans="1:32" x14ac:dyDescent="0.45">
      <c r="A51" t="s">
        <v>46</v>
      </c>
      <c r="B51" s="37">
        <v>0.21573800000000001</v>
      </c>
      <c r="F51" t="s">
        <v>46</v>
      </c>
      <c r="G51">
        <v>0.92188036372221738</v>
      </c>
      <c r="H51" s="41">
        <v>-0.21335159752893493</v>
      </c>
      <c r="J51" t="s">
        <v>192</v>
      </c>
      <c r="K51" s="57">
        <v>0.97891154400765901</v>
      </c>
      <c r="L51" s="58">
        <v>-0.19146914607572618</v>
      </c>
    </row>
    <row r="52" spans="1:32" x14ac:dyDescent="0.45">
      <c r="A52" t="s">
        <v>246</v>
      </c>
      <c r="B52" s="6">
        <f>1 + INDEX($B$46:$B$51, MATCH(Dashboard!$B$20,Lists!$B$6:$B$11,0)) / 2 * IF(OR(Dashboard!$B$4 = 1, Dashboard!$B$4 = 2, Dashboard!$B$4 = 6, Dashboard!$B$4 = 7),  -1, IF(OR(Dashboard!$B$4 = 3, Dashboard!$B$4 = 4, Dashboard!$B$4 = 5, Dashboard!$B$4 = 8, Dashboard!$B$4 = 9, Dashboard!$B$4 = 10), 1, 0))</f>
        <v>1</v>
      </c>
      <c r="F52" t="s">
        <v>360</v>
      </c>
      <c r="G52" s="6">
        <f ca="1" xml:space="preserve"> OFFSET($F$45,    MATCH(Dashboard!$B$20,Lists!$B$6:$B$11,0),   IF(ResidualValue!$G$1=1, 5, 1))</f>
        <v>0.92188036372221738</v>
      </c>
      <c r="H52" s="6">
        <f ca="1" xml:space="preserve"> OFFSET($F$45,    MATCH(Dashboard!$B$20,Lists!$B$6:$B$11,0),   IF(ResidualValue!$G$1=1, 6, 2))</f>
        <v>-0.21335159752893493</v>
      </c>
    </row>
    <row r="54" spans="1:32" x14ac:dyDescent="0.45">
      <c r="A54" t="s">
        <v>248</v>
      </c>
    </row>
    <row r="55" spans="1:32" x14ac:dyDescent="0.45">
      <c r="A55" t="s">
        <v>42</v>
      </c>
      <c r="C55">
        <f t="shared" ref="C55:C66" si="6">1 - C32/B32</f>
        <v>0.2858448418401881</v>
      </c>
      <c r="D55">
        <f t="shared" ref="D55:AF64" si="7">1 - D32/C32</f>
        <v>0.11898318574389377</v>
      </c>
      <c r="E55">
        <f t="shared" si="7"/>
        <v>9.6243998690898169E-2</v>
      </c>
      <c r="F55">
        <f t="shared" si="7"/>
        <v>8.9179326315572571E-2</v>
      </c>
      <c r="G55">
        <f t="shared" si="7"/>
        <v>0.14120490797581953</v>
      </c>
      <c r="H55">
        <f t="shared" si="7"/>
        <v>0.10551530268812215</v>
      </c>
      <c r="I55">
        <f t="shared" si="7"/>
        <v>0.14775940090926709</v>
      </c>
      <c r="J55">
        <f t="shared" si="7"/>
        <v>9.5132696882800349E-2</v>
      </c>
      <c r="K55">
        <f t="shared" si="7"/>
        <v>0.11328443929704468</v>
      </c>
      <c r="L55">
        <f t="shared" si="7"/>
        <v>0.11328443929704457</v>
      </c>
      <c r="M55">
        <f t="shared" si="7"/>
        <v>0.1132844392970449</v>
      </c>
      <c r="N55">
        <f t="shared" si="7"/>
        <v>0.11328443929704446</v>
      </c>
      <c r="O55">
        <f t="shared" si="7"/>
        <v>0.11328443929704468</v>
      </c>
      <c r="P55">
        <f t="shared" si="7"/>
        <v>0.11328443929704479</v>
      </c>
      <c r="Q55">
        <f t="shared" si="7"/>
        <v>0.11328443929704446</v>
      </c>
      <c r="R55">
        <f t="shared" si="7"/>
        <v>0.11328443929704446</v>
      </c>
      <c r="S55">
        <f t="shared" si="7"/>
        <v>0.1132844392970449</v>
      </c>
      <c r="T55">
        <f t="shared" si="7"/>
        <v>0.11328443929704435</v>
      </c>
      <c r="U55">
        <f t="shared" si="7"/>
        <v>0.11328443929704501</v>
      </c>
      <c r="V55">
        <f t="shared" si="7"/>
        <v>0.11328443929704435</v>
      </c>
      <c r="W55">
        <f t="shared" si="7"/>
        <v>0.11328443929704457</v>
      </c>
      <c r="X55">
        <f t="shared" si="7"/>
        <v>0.1132844392970449</v>
      </c>
      <c r="Y55">
        <f t="shared" si="7"/>
        <v>0.11328443929704435</v>
      </c>
      <c r="Z55">
        <f t="shared" si="7"/>
        <v>0.11328443929704468</v>
      </c>
      <c r="AA55">
        <f t="shared" si="7"/>
        <v>0.11328443929704479</v>
      </c>
      <c r="AB55">
        <f t="shared" si="7"/>
        <v>0.11328443929704457</v>
      </c>
      <c r="AC55">
        <f t="shared" si="7"/>
        <v>0.11328443929704468</v>
      </c>
      <c r="AD55">
        <f t="shared" si="7"/>
        <v>0.1132844392970449</v>
      </c>
      <c r="AE55">
        <f t="shared" si="7"/>
        <v>0.11328443929704446</v>
      </c>
      <c r="AF55">
        <f t="shared" si="7"/>
        <v>0.11328443929704457</v>
      </c>
    </row>
    <row r="56" spans="1:32" x14ac:dyDescent="0.45">
      <c r="A56" t="s">
        <v>43</v>
      </c>
      <c r="C56">
        <f t="shared" si="6"/>
        <v>0.2858448418401881</v>
      </c>
      <c r="D56">
        <f t="shared" ref="D56:R56" si="8">1 - D33/C33</f>
        <v>0.11898318574389377</v>
      </c>
      <c r="E56">
        <f t="shared" si="8"/>
        <v>9.6243998690898169E-2</v>
      </c>
      <c r="F56">
        <f t="shared" si="8"/>
        <v>8.9179326315572571E-2</v>
      </c>
      <c r="G56">
        <f t="shared" si="8"/>
        <v>0.14120490797581953</v>
      </c>
      <c r="H56">
        <f t="shared" si="8"/>
        <v>0.10551530268812215</v>
      </c>
      <c r="I56">
        <f t="shared" si="8"/>
        <v>0.14775940090926709</v>
      </c>
      <c r="J56">
        <f t="shared" si="8"/>
        <v>9.5132696882800349E-2</v>
      </c>
      <c r="K56">
        <f t="shared" si="8"/>
        <v>0.11328443929704468</v>
      </c>
      <c r="L56">
        <f t="shared" si="8"/>
        <v>0.11328443929704457</v>
      </c>
      <c r="M56">
        <f t="shared" si="8"/>
        <v>0.1132844392970449</v>
      </c>
      <c r="N56">
        <f t="shared" si="8"/>
        <v>0.11328443929704446</v>
      </c>
      <c r="O56">
        <f t="shared" si="8"/>
        <v>0.11328443929704468</v>
      </c>
      <c r="P56">
        <f t="shared" si="8"/>
        <v>0.11328443929704479</v>
      </c>
      <c r="Q56">
        <f t="shared" si="8"/>
        <v>0.11328443929704446</v>
      </c>
      <c r="R56">
        <f t="shared" si="8"/>
        <v>0.11328443929704446</v>
      </c>
      <c r="S56">
        <f t="shared" si="7"/>
        <v>0.1132844392970449</v>
      </c>
      <c r="T56">
        <f t="shared" si="7"/>
        <v>0.11328443929704435</v>
      </c>
      <c r="U56">
        <f t="shared" si="7"/>
        <v>0.11328443929704501</v>
      </c>
      <c r="V56">
        <f t="shared" si="7"/>
        <v>0.11328443929704435</v>
      </c>
      <c r="W56">
        <f t="shared" si="7"/>
        <v>0.11328443929704457</v>
      </c>
      <c r="X56">
        <f t="shared" si="7"/>
        <v>0.1132844392970449</v>
      </c>
      <c r="Y56">
        <f t="shared" si="7"/>
        <v>0.11328443929704435</v>
      </c>
      <c r="Z56">
        <f t="shared" si="7"/>
        <v>0.11328443929704468</v>
      </c>
      <c r="AA56">
        <f t="shared" si="7"/>
        <v>0.11328443929704479</v>
      </c>
      <c r="AB56">
        <f t="shared" si="7"/>
        <v>0.11328443929704457</v>
      </c>
      <c r="AC56">
        <f t="shared" si="7"/>
        <v>0.11328443929704468</v>
      </c>
      <c r="AD56">
        <f t="shared" si="7"/>
        <v>0.1132844392970449</v>
      </c>
      <c r="AE56">
        <f t="shared" si="7"/>
        <v>0.11328443929704446</v>
      </c>
      <c r="AF56">
        <f t="shared" si="7"/>
        <v>0.11328443929704457</v>
      </c>
    </row>
    <row r="57" spans="1:32" x14ac:dyDescent="0.45">
      <c r="A57" t="s">
        <v>427</v>
      </c>
      <c r="C57">
        <f t="shared" si="6"/>
        <v>0.30070205346715939</v>
      </c>
      <c r="D57">
        <f t="shared" si="7"/>
        <v>0.12216434836225987</v>
      </c>
      <c r="E57">
        <f t="shared" si="7"/>
        <v>8.7015740216649928E-2</v>
      </c>
      <c r="F57">
        <f t="shared" si="7"/>
        <v>0.10292777370528394</v>
      </c>
      <c r="G57">
        <f t="shared" si="7"/>
        <v>9.9112737001755602E-2</v>
      </c>
      <c r="H57">
        <f t="shared" si="7"/>
        <v>0.13977301729916258</v>
      </c>
      <c r="I57">
        <f t="shared" si="7"/>
        <v>0.21995890341440671</v>
      </c>
      <c r="J57">
        <f t="shared" si="7"/>
        <v>6.209271348394374E-2</v>
      </c>
      <c r="K57">
        <f t="shared" si="7"/>
        <v>0.12090747212633357</v>
      </c>
      <c r="L57">
        <f t="shared" si="7"/>
        <v>0.12090747212633368</v>
      </c>
      <c r="M57">
        <f t="shared" si="7"/>
        <v>0.12090747212633357</v>
      </c>
      <c r="N57">
        <f t="shared" si="7"/>
        <v>0.12090747212633346</v>
      </c>
      <c r="O57">
        <f t="shared" si="7"/>
        <v>0.12090747212633346</v>
      </c>
      <c r="P57">
        <f t="shared" si="7"/>
        <v>0.12090747212633379</v>
      </c>
      <c r="Q57">
        <f t="shared" si="7"/>
        <v>0.12090747212633368</v>
      </c>
      <c r="R57">
        <f t="shared" si="7"/>
        <v>0.12090747212633346</v>
      </c>
      <c r="S57">
        <f t="shared" si="7"/>
        <v>0.12090747212633368</v>
      </c>
      <c r="T57">
        <f t="shared" si="7"/>
        <v>0.12090747212633368</v>
      </c>
      <c r="U57">
        <f t="shared" si="7"/>
        <v>0.12090747212633368</v>
      </c>
      <c r="V57">
        <f t="shared" si="7"/>
        <v>0.12090747212633357</v>
      </c>
      <c r="W57">
        <f t="shared" si="7"/>
        <v>0.12090747212633357</v>
      </c>
      <c r="X57">
        <f t="shared" si="7"/>
        <v>0.12090747212633401</v>
      </c>
      <c r="Y57">
        <f t="shared" si="7"/>
        <v>0.12090747212633346</v>
      </c>
      <c r="Z57">
        <f t="shared" si="7"/>
        <v>0.12090747212633368</v>
      </c>
      <c r="AA57">
        <f t="shared" si="7"/>
        <v>0.12090747212633335</v>
      </c>
      <c r="AB57">
        <f t="shared" si="7"/>
        <v>0.12090747212633346</v>
      </c>
      <c r="AC57">
        <f t="shared" si="7"/>
        <v>0.12090747212633401</v>
      </c>
      <c r="AD57">
        <f t="shared" si="7"/>
        <v>0.12090747212633346</v>
      </c>
      <c r="AE57">
        <f t="shared" si="7"/>
        <v>0.12090747212633379</v>
      </c>
      <c r="AF57">
        <f t="shared" si="7"/>
        <v>0.12090747212633368</v>
      </c>
    </row>
    <row r="58" spans="1:32" x14ac:dyDescent="0.45">
      <c r="A58" t="s">
        <v>44</v>
      </c>
      <c r="C58">
        <f t="shared" si="6"/>
        <v>0.19100475789975091</v>
      </c>
      <c r="D58">
        <f t="shared" si="7"/>
        <v>0.13578306476394375</v>
      </c>
      <c r="E58">
        <f t="shared" si="7"/>
        <v>0.10532918815186809</v>
      </c>
      <c r="F58">
        <f t="shared" si="7"/>
        <v>0.27352863482533751</v>
      </c>
      <c r="G58">
        <f t="shared" si="7"/>
        <v>0.19497721938439083</v>
      </c>
      <c r="H58">
        <f t="shared" si="7"/>
        <v>0.1250869299281937</v>
      </c>
      <c r="I58">
        <f t="shared" si="7"/>
        <v>0.1269277916108027</v>
      </c>
      <c r="J58">
        <f t="shared" si="7"/>
        <v>0.17568307172464526</v>
      </c>
      <c r="K58">
        <f t="shared" si="7"/>
        <v>0.16616297330017149</v>
      </c>
      <c r="L58">
        <f t="shared" si="7"/>
        <v>0.16616297330017193</v>
      </c>
      <c r="M58">
        <f t="shared" si="7"/>
        <v>0.1661629733001716</v>
      </c>
      <c r="N58">
        <f t="shared" si="7"/>
        <v>0.1661629733001716</v>
      </c>
      <c r="O58">
        <f t="shared" si="7"/>
        <v>0.1661629733001716</v>
      </c>
      <c r="P58">
        <f t="shared" si="7"/>
        <v>0.16616297330017182</v>
      </c>
      <c r="Q58">
        <f t="shared" si="7"/>
        <v>0.1661629733001716</v>
      </c>
      <c r="R58">
        <f t="shared" si="7"/>
        <v>0.16616297330017138</v>
      </c>
      <c r="S58">
        <f t="shared" si="7"/>
        <v>0.16616297330017182</v>
      </c>
      <c r="T58">
        <f t="shared" si="7"/>
        <v>0.16616297330017149</v>
      </c>
      <c r="U58">
        <f t="shared" si="7"/>
        <v>0.16616297330017193</v>
      </c>
      <c r="V58">
        <f t="shared" si="7"/>
        <v>0.1661629733001716</v>
      </c>
      <c r="W58">
        <f t="shared" si="7"/>
        <v>0.16616297330017138</v>
      </c>
      <c r="X58">
        <f t="shared" si="7"/>
        <v>0.16616297330017171</v>
      </c>
      <c r="Y58">
        <f t="shared" si="7"/>
        <v>0.1661629733001716</v>
      </c>
      <c r="Z58">
        <f t="shared" si="7"/>
        <v>0.16616297330017149</v>
      </c>
      <c r="AA58">
        <f t="shared" si="7"/>
        <v>0.1661629733001716</v>
      </c>
      <c r="AB58">
        <f t="shared" si="7"/>
        <v>0.16616297330017171</v>
      </c>
      <c r="AC58">
        <f t="shared" si="7"/>
        <v>0.16616297330017227</v>
      </c>
      <c r="AD58">
        <f t="shared" si="7"/>
        <v>0.16616297330017149</v>
      </c>
      <c r="AE58">
        <f t="shared" si="7"/>
        <v>0.16616297330017138</v>
      </c>
      <c r="AF58">
        <f t="shared" si="7"/>
        <v>0.16616297330017171</v>
      </c>
    </row>
    <row r="59" spans="1:32" x14ac:dyDescent="0.45">
      <c r="A59" t="s">
        <v>45</v>
      </c>
      <c r="C59">
        <f t="shared" si="6"/>
        <v>0.42988015889598563</v>
      </c>
      <c r="D59">
        <f t="shared" si="7"/>
        <v>0.14781876566237506</v>
      </c>
      <c r="E59">
        <f t="shared" si="7"/>
        <v>0.11881797919452886</v>
      </c>
      <c r="F59">
        <f t="shared" si="7"/>
        <v>0.39577660251985358</v>
      </c>
      <c r="G59">
        <f t="shared" si="7"/>
        <v>6.9364563927643785E-2</v>
      </c>
      <c r="H59">
        <f t="shared" si="7"/>
        <v>0.19542194049576012</v>
      </c>
      <c r="I59">
        <f t="shared" si="7"/>
        <v>0.19542194049576</v>
      </c>
      <c r="J59">
        <f t="shared" si="7"/>
        <v>0.19542194049576034</v>
      </c>
      <c r="K59">
        <f t="shared" si="7"/>
        <v>0.19542194049576034</v>
      </c>
      <c r="L59">
        <f t="shared" si="7"/>
        <v>0.19542194049576</v>
      </c>
      <c r="M59">
        <f t="shared" si="7"/>
        <v>0.19542194049576</v>
      </c>
      <c r="N59">
        <f t="shared" si="7"/>
        <v>0.19542194049576056</v>
      </c>
      <c r="O59">
        <f t="shared" si="7"/>
        <v>0.19542194049576</v>
      </c>
      <c r="P59">
        <f t="shared" si="7"/>
        <v>0.19542194049576</v>
      </c>
      <c r="Q59">
        <f t="shared" si="7"/>
        <v>0.19542194049576056</v>
      </c>
      <c r="R59">
        <f t="shared" si="7"/>
        <v>0.19542194049576012</v>
      </c>
      <c r="S59">
        <f t="shared" si="7"/>
        <v>0.19542194049576</v>
      </c>
      <c r="T59">
        <f t="shared" si="7"/>
        <v>0.19542194049576034</v>
      </c>
      <c r="U59">
        <f t="shared" si="7"/>
        <v>0.19542194049576</v>
      </c>
      <c r="V59">
        <f t="shared" si="7"/>
        <v>0.19542194049576023</v>
      </c>
      <c r="W59">
        <f t="shared" si="7"/>
        <v>0.19542194049576012</v>
      </c>
      <c r="X59">
        <f t="shared" si="7"/>
        <v>0.19542194049576</v>
      </c>
      <c r="Y59">
        <f t="shared" si="7"/>
        <v>0.19542194049576078</v>
      </c>
      <c r="Z59">
        <f t="shared" si="7"/>
        <v>0.19542194049576012</v>
      </c>
      <c r="AA59">
        <f t="shared" si="7"/>
        <v>0.19542194049576</v>
      </c>
      <c r="AB59">
        <f t="shared" si="7"/>
        <v>0.19542194049576012</v>
      </c>
      <c r="AC59">
        <f t="shared" si="7"/>
        <v>0.19542194049576023</v>
      </c>
      <c r="AD59">
        <f t="shared" si="7"/>
        <v>0.19542194049576</v>
      </c>
      <c r="AE59">
        <f t="shared" si="7"/>
        <v>0.19542194049576089</v>
      </c>
      <c r="AF59">
        <f t="shared" si="7"/>
        <v>0.19542194049575989</v>
      </c>
    </row>
    <row r="60" spans="1:32" x14ac:dyDescent="0.45">
      <c r="A60" t="s">
        <v>46</v>
      </c>
      <c r="C60">
        <f t="shared" si="6"/>
        <v>0.25417026942279741</v>
      </c>
      <c r="D60">
        <f t="shared" si="7"/>
        <v>0.16157914155860087</v>
      </c>
      <c r="E60">
        <f t="shared" si="7"/>
        <v>0.18010257896473825</v>
      </c>
      <c r="F60">
        <f t="shared" si="7"/>
        <v>0.28163226562511345</v>
      </c>
      <c r="G60">
        <f t="shared" si="7"/>
        <v>7.1182485611359536E-2</v>
      </c>
      <c r="H60">
        <f t="shared" si="7"/>
        <v>0.25567318815612872</v>
      </c>
      <c r="I60">
        <f t="shared" si="7"/>
        <v>0.21312037823060814</v>
      </c>
      <c r="J60">
        <f t="shared" si="7"/>
        <v>0.16515715193886882</v>
      </c>
      <c r="K60">
        <f t="shared" si="7"/>
        <v>0.19212795853774145</v>
      </c>
      <c r="L60">
        <f t="shared" si="7"/>
        <v>0.19212795853774134</v>
      </c>
      <c r="M60">
        <f t="shared" si="7"/>
        <v>0.19212795853774134</v>
      </c>
      <c r="N60">
        <f t="shared" si="7"/>
        <v>0.19212795853774101</v>
      </c>
      <c r="O60">
        <f t="shared" si="7"/>
        <v>0.19212795853774145</v>
      </c>
      <c r="P60">
        <f t="shared" si="7"/>
        <v>0.19212795853774123</v>
      </c>
      <c r="Q60">
        <f t="shared" si="7"/>
        <v>0.19212795853774101</v>
      </c>
      <c r="R60">
        <f t="shared" si="7"/>
        <v>0.19212795853774145</v>
      </c>
      <c r="S60">
        <f t="shared" si="7"/>
        <v>0.19212795853774134</v>
      </c>
      <c r="T60">
        <f t="shared" si="7"/>
        <v>0.19212795853774101</v>
      </c>
      <c r="U60">
        <f t="shared" si="7"/>
        <v>0.19212795853774167</v>
      </c>
      <c r="V60">
        <f t="shared" si="7"/>
        <v>0.19212795853774134</v>
      </c>
      <c r="W60">
        <f t="shared" si="7"/>
        <v>0.19212795853774134</v>
      </c>
      <c r="X60">
        <f t="shared" si="7"/>
        <v>0.19212795853774134</v>
      </c>
      <c r="Y60">
        <f t="shared" si="7"/>
        <v>0.19212795853774056</v>
      </c>
      <c r="Z60">
        <f t="shared" si="7"/>
        <v>0.19212795853774134</v>
      </c>
      <c r="AA60">
        <f t="shared" si="7"/>
        <v>0.19212795853774167</v>
      </c>
      <c r="AB60">
        <f t="shared" si="7"/>
        <v>0.19212795853774123</v>
      </c>
      <c r="AC60">
        <f t="shared" si="7"/>
        <v>0.19212795853774145</v>
      </c>
      <c r="AD60">
        <f t="shared" si="7"/>
        <v>0.19212795853774134</v>
      </c>
      <c r="AE60">
        <f t="shared" si="7"/>
        <v>0.19212795853774067</v>
      </c>
      <c r="AF60">
        <f t="shared" si="7"/>
        <v>0.19212795853774134</v>
      </c>
    </row>
    <row r="61" spans="1:32" x14ac:dyDescent="0.45">
      <c r="A61" t="s">
        <v>188</v>
      </c>
      <c r="C61">
        <f t="shared" si="6"/>
        <v>0.32939089523970155</v>
      </c>
      <c r="D61">
        <f t="shared" si="7"/>
        <v>0.12723647413531747</v>
      </c>
      <c r="E61">
        <f t="shared" si="7"/>
        <v>0.13200172809238986</v>
      </c>
      <c r="F61">
        <f t="shared" si="7"/>
        <v>0.15104627879475696</v>
      </c>
      <c r="G61">
        <f t="shared" si="7"/>
        <v>0.14304494653272581</v>
      </c>
      <c r="H61">
        <f t="shared" si="7"/>
        <v>0.16364637020861872</v>
      </c>
      <c r="I61">
        <f t="shared" si="7"/>
        <v>0.1368033853991012</v>
      </c>
      <c r="J61">
        <f t="shared" si="7"/>
        <v>0.15058738466024246</v>
      </c>
      <c r="K61">
        <f t="shared" si="7"/>
        <v>0.14524973392594731</v>
      </c>
      <c r="L61">
        <f t="shared" si="7"/>
        <v>0.14524973392594709</v>
      </c>
      <c r="M61">
        <f t="shared" si="7"/>
        <v>0.14524973392594731</v>
      </c>
      <c r="N61">
        <f t="shared" si="7"/>
        <v>0.14524973392594731</v>
      </c>
      <c r="O61">
        <f t="shared" si="7"/>
        <v>0.14524973392594742</v>
      </c>
      <c r="P61">
        <f t="shared" si="7"/>
        <v>0.14524973392594709</v>
      </c>
      <c r="Q61">
        <f t="shared" si="7"/>
        <v>0.1452497339259472</v>
      </c>
      <c r="R61">
        <f t="shared" si="7"/>
        <v>0.1452497339259472</v>
      </c>
      <c r="S61">
        <f t="shared" si="7"/>
        <v>0.14524973392594753</v>
      </c>
      <c r="T61">
        <f t="shared" si="7"/>
        <v>0.14524973392594709</v>
      </c>
      <c r="U61">
        <f t="shared" si="7"/>
        <v>0.1452497339259472</v>
      </c>
      <c r="V61">
        <f t="shared" si="7"/>
        <v>0.14524973392594731</v>
      </c>
      <c r="W61">
        <f t="shared" si="7"/>
        <v>0.14524973392594709</v>
      </c>
      <c r="X61">
        <f t="shared" si="7"/>
        <v>0.14524973392594731</v>
      </c>
      <c r="Y61">
        <f t="shared" si="7"/>
        <v>0.14524973392594731</v>
      </c>
      <c r="Z61">
        <f t="shared" si="7"/>
        <v>0.14524973392594764</v>
      </c>
      <c r="AA61">
        <f t="shared" si="7"/>
        <v>0.14524973392594742</v>
      </c>
      <c r="AB61">
        <f t="shared" si="7"/>
        <v>0.14524973392594709</v>
      </c>
      <c r="AC61">
        <f t="shared" si="7"/>
        <v>0.14524973392594731</v>
      </c>
      <c r="AD61">
        <f t="shared" si="7"/>
        <v>0.14524973392594709</v>
      </c>
      <c r="AE61">
        <f t="shared" si="7"/>
        <v>0.14524973392594731</v>
      </c>
      <c r="AF61">
        <f t="shared" si="7"/>
        <v>0.14524973392594731</v>
      </c>
    </row>
    <row r="62" spans="1:32" x14ac:dyDescent="0.45">
      <c r="A62" t="s">
        <v>189</v>
      </c>
      <c r="C62">
        <f t="shared" si="6"/>
        <v>0.32939089523970155</v>
      </c>
      <c r="D62">
        <f t="shared" si="7"/>
        <v>0.12723647413531747</v>
      </c>
      <c r="E62">
        <f t="shared" si="7"/>
        <v>0.13200172809238986</v>
      </c>
      <c r="F62">
        <f t="shared" si="7"/>
        <v>0.15104627879475696</v>
      </c>
      <c r="G62">
        <f t="shared" si="7"/>
        <v>0.14304494653272581</v>
      </c>
      <c r="H62">
        <f t="shared" si="7"/>
        <v>0.16364637020861872</v>
      </c>
      <c r="I62">
        <f t="shared" si="7"/>
        <v>0.1368033853991012</v>
      </c>
      <c r="J62">
        <f t="shared" si="7"/>
        <v>0.15058738466024246</v>
      </c>
      <c r="K62">
        <f t="shared" si="7"/>
        <v>0.14524973392594731</v>
      </c>
      <c r="L62">
        <f t="shared" si="7"/>
        <v>0.14524973392594709</v>
      </c>
      <c r="M62">
        <f t="shared" si="7"/>
        <v>0.14524973392594731</v>
      </c>
      <c r="N62">
        <f t="shared" si="7"/>
        <v>0.14524973392594731</v>
      </c>
      <c r="O62">
        <f t="shared" si="7"/>
        <v>0.14524973392594742</v>
      </c>
      <c r="P62">
        <f t="shared" si="7"/>
        <v>0.14524973392594709</v>
      </c>
      <c r="Q62">
        <f t="shared" si="7"/>
        <v>0.1452497339259472</v>
      </c>
      <c r="R62">
        <f t="shared" si="7"/>
        <v>0.1452497339259472</v>
      </c>
      <c r="S62">
        <f t="shared" si="7"/>
        <v>0.14524973392594753</v>
      </c>
      <c r="T62">
        <f t="shared" si="7"/>
        <v>0.14524973392594709</v>
      </c>
      <c r="U62">
        <f t="shared" si="7"/>
        <v>0.1452497339259472</v>
      </c>
      <c r="V62">
        <f t="shared" si="7"/>
        <v>0.14524973392594731</v>
      </c>
      <c r="W62">
        <f t="shared" si="7"/>
        <v>0.14524973392594709</v>
      </c>
      <c r="X62">
        <f t="shared" si="7"/>
        <v>0.14524973392594731</v>
      </c>
      <c r="Y62">
        <f t="shared" si="7"/>
        <v>0.14524973392594731</v>
      </c>
      <c r="Z62">
        <f t="shared" si="7"/>
        <v>0.14524973392594764</v>
      </c>
      <c r="AA62">
        <f t="shared" si="7"/>
        <v>0.14524973392594742</v>
      </c>
      <c r="AB62">
        <f t="shared" si="7"/>
        <v>0.14524973392594709</v>
      </c>
      <c r="AC62">
        <f t="shared" si="7"/>
        <v>0.14524973392594731</v>
      </c>
      <c r="AD62">
        <f t="shared" si="7"/>
        <v>0.14524973392594709</v>
      </c>
      <c r="AE62">
        <f t="shared" si="7"/>
        <v>0.14524973392594731</v>
      </c>
      <c r="AF62">
        <f t="shared" si="7"/>
        <v>0.14524973392594731</v>
      </c>
    </row>
    <row r="63" spans="1:32" x14ac:dyDescent="0.45">
      <c r="A63" t="s">
        <v>432</v>
      </c>
      <c r="C63">
        <f t="shared" si="6"/>
        <v>0.32067312426351657</v>
      </c>
      <c r="D63">
        <f t="shared" si="7"/>
        <v>0.11472116957551592</v>
      </c>
      <c r="E63">
        <f t="shared" si="7"/>
        <v>9.7692071013277815E-2</v>
      </c>
      <c r="F63">
        <f t="shared" si="7"/>
        <v>0.10096663949196194</v>
      </c>
      <c r="G63">
        <f t="shared" si="7"/>
        <v>0.13050349194670952</v>
      </c>
      <c r="H63">
        <f t="shared" si="7"/>
        <v>0.16449312293405305</v>
      </c>
      <c r="I63">
        <f t="shared" si="7"/>
        <v>0.11331486805745372</v>
      </c>
      <c r="J63">
        <f t="shared" si="7"/>
        <v>0.10763899446681091</v>
      </c>
      <c r="K63">
        <f t="shared" si="7"/>
        <v>0.11978608413107872</v>
      </c>
      <c r="L63">
        <f t="shared" si="7"/>
        <v>0.11978608413107872</v>
      </c>
      <c r="M63">
        <f t="shared" si="7"/>
        <v>0.11978608413107872</v>
      </c>
      <c r="N63">
        <f t="shared" si="7"/>
        <v>0.11978608413107905</v>
      </c>
      <c r="O63">
        <f t="shared" si="7"/>
        <v>0.11978608413107872</v>
      </c>
      <c r="P63">
        <f t="shared" si="7"/>
        <v>0.11978608413107883</v>
      </c>
      <c r="Q63">
        <f t="shared" si="7"/>
        <v>0.11978608413107861</v>
      </c>
      <c r="R63">
        <f t="shared" si="7"/>
        <v>0.11978608413107894</v>
      </c>
      <c r="S63">
        <f t="shared" si="7"/>
        <v>0.11978608413107872</v>
      </c>
      <c r="T63">
        <f t="shared" si="7"/>
        <v>0.11978608413107883</v>
      </c>
      <c r="U63">
        <f t="shared" si="7"/>
        <v>0.11978608413107894</v>
      </c>
      <c r="V63">
        <f t="shared" si="7"/>
        <v>0.11978608413107861</v>
      </c>
      <c r="W63">
        <f t="shared" si="7"/>
        <v>0.11978608413107894</v>
      </c>
      <c r="X63">
        <f t="shared" si="7"/>
        <v>0.1197860841310785</v>
      </c>
      <c r="Y63">
        <f t="shared" si="7"/>
        <v>0.11978608413107883</v>
      </c>
      <c r="Z63">
        <f t="shared" si="7"/>
        <v>0.11978608413107894</v>
      </c>
      <c r="AA63">
        <f t="shared" si="7"/>
        <v>0.1197860841310785</v>
      </c>
      <c r="AB63">
        <f t="shared" si="7"/>
        <v>0.11978608413107905</v>
      </c>
      <c r="AC63">
        <f t="shared" si="7"/>
        <v>0.1197860841310785</v>
      </c>
      <c r="AD63">
        <f t="shared" si="7"/>
        <v>0.11978608413107894</v>
      </c>
      <c r="AE63">
        <f t="shared" si="7"/>
        <v>0.1197860841310785</v>
      </c>
      <c r="AF63">
        <f t="shared" si="7"/>
        <v>0.11978608413107916</v>
      </c>
    </row>
    <row r="64" spans="1:32" x14ac:dyDescent="0.45">
      <c r="A64" t="s">
        <v>190</v>
      </c>
      <c r="C64">
        <f t="shared" si="6"/>
        <v>0.26348068612450803</v>
      </c>
      <c r="D64">
        <f t="shared" si="7"/>
        <v>0.1245638010458564</v>
      </c>
      <c r="E64">
        <f t="shared" si="7"/>
        <v>0.15979560281975724</v>
      </c>
      <c r="F64">
        <f t="shared" si="7"/>
        <v>0.13128227877837084</v>
      </c>
      <c r="G64">
        <f t="shared" si="7"/>
        <v>0.16975700622147483</v>
      </c>
      <c r="H64">
        <f t="shared" si="7"/>
        <v>0.13622124854887818</v>
      </c>
      <c r="I64">
        <f t="shared" si="7"/>
        <v>0.11680770093445436</v>
      </c>
      <c r="J64">
        <f t="shared" si="7"/>
        <v>0.1601136268722877</v>
      </c>
      <c r="K64">
        <f t="shared" si="7"/>
        <v>0.14277496440666415</v>
      </c>
      <c r="L64">
        <f t="shared" si="7"/>
        <v>0.14277496440666426</v>
      </c>
      <c r="M64">
        <f t="shared" ref="D64:AF66" si="9">1 - M41/L41</f>
        <v>0.14277496440666426</v>
      </c>
      <c r="N64">
        <f t="shared" si="9"/>
        <v>0.14277496440666415</v>
      </c>
      <c r="O64">
        <f t="shared" si="9"/>
        <v>0.14277496440666415</v>
      </c>
      <c r="P64">
        <f t="shared" si="9"/>
        <v>0.14277496440666437</v>
      </c>
      <c r="Q64">
        <f t="shared" si="9"/>
        <v>0.14277496440666404</v>
      </c>
      <c r="R64">
        <f t="shared" si="9"/>
        <v>0.14277496440666426</v>
      </c>
      <c r="S64">
        <f t="shared" si="9"/>
        <v>0.14277496440666437</v>
      </c>
      <c r="T64">
        <f t="shared" si="9"/>
        <v>0.14277496440666404</v>
      </c>
      <c r="U64">
        <f t="shared" si="9"/>
        <v>0.14277496440666437</v>
      </c>
      <c r="V64">
        <f t="shared" si="9"/>
        <v>0.14277496440666393</v>
      </c>
      <c r="W64">
        <f t="shared" si="9"/>
        <v>0.14277496440666437</v>
      </c>
      <c r="X64">
        <f t="shared" si="9"/>
        <v>0.14277496440666437</v>
      </c>
      <c r="Y64">
        <f t="shared" si="9"/>
        <v>0.14277496440666393</v>
      </c>
      <c r="Z64">
        <f t="shared" si="9"/>
        <v>0.14277496440666415</v>
      </c>
      <c r="AA64">
        <f t="shared" si="9"/>
        <v>0.14277496440666448</v>
      </c>
      <c r="AB64">
        <f t="shared" si="9"/>
        <v>0.14277496440666393</v>
      </c>
      <c r="AC64">
        <f t="shared" si="9"/>
        <v>0.14277496440666393</v>
      </c>
      <c r="AD64">
        <f t="shared" si="9"/>
        <v>0.14277496440666482</v>
      </c>
      <c r="AE64">
        <f t="shared" si="9"/>
        <v>0.14277496440666393</v>
      </c>
      <c r="AF64">
        <f t="shared" si="9"/>
        <v>0.14277496440666382</v>
      </c>
    </row>
    <row r="65" spans="1:37" x14ac:dyDescent="0.45">
      <c r="A65" t="s">
        <v>191</v>
      </c>
      <c r="C65">
        <f t="shared" si="6"/>
        <v>0.42988015889598563</v>
      </c>
      <c r="D65">
        <f t="shared" si="9"/>
        <v>0.14781876566237506</v>
      </c>
      <c r="E65">
        <f t="shared" si="9"/>
        <v>0.11881797919452886</v>
      </c>
      <c r="F65">
        <f t="shared" si="9"/>
        <v>0.39577660251985358</v>
      </c>
      <c r="G65">
        <f t="shared" si="9"/>
        <v>6.9364563927643785E-2</v>
      </c>
      <c r="H65">
        <f t="shared" si="9"/>
        <v>0.19542194049576012</v>
      </c>
      <c r="I65">
        <f t="shared" si="9"/>
        <v>0.19542194049576</v>
      </c>
      <c r="J65">
        <f t="shared" si="9"/>
        <v>0.19542194049576034</v>
      </c>
      <c r="K65">
        <f t="shared" si="9"/>
        <v>0.19542194049576034</v>
      </c>
      <c r="L65">
        <f t="shared" si="9"/>
        <v>0.19542194049576</v>
      </c>
      <c r="M65">
        <f t="shared" si="9"/>
        <v>0.19542194049576</v>
      </c>
      <c r="N65">
        <f t="shared" si="9"/>
        <v>0.19542194049576056</v>
      </c>
      <c r="O65">
        <f t="shared" si="9"/>
        <v>0.19542194049576</v>
      </c>
      <c r="P65">
        <f t="shared" si="9"/>
        <v>0.19542194049576</v>
      </c>
      <c r="Q65">
        <f t="shared" si="9"/>
        <v>0.19542194049576056</v>
      </c>
      <c r="R65">
        <f t="shared" si="9"/>
        <v>0.19542194049576012</v>
      </c>
      <c r="S65">
        <f t="shared" si="9"/>
        <v>0.19542194049576</v>
      </c>
      <c r="T65">
        <f t="shared" si="9"/>
        <v>0.19542194049576034</v>
      </c>
      <c r="U65">
        <f t="shared" si="9"/>
        <v>0.19542194049576</v>
      </c>
      <c r="V65">
        <f t="shared" si="9"/>
        <v>0.19542194049576023</v>
      </c>
      <c r="W65">
        <f t="shared" si="9"/>
        <v>0.19542194049576012</v>
      </c>
      <c r="X65">
        <f t="shared" si="9"/>
        <v>0.19542194049576</v>
      </c>
      <c r="Y65">
        <f t="shared" si="9"/>
        <v>0.19542194049576078</v>
      </c>
      <c r="Z65">
        <f t="shared" si="9"/>
        <v>0.19542194049576012</v>
      </c>
      <c r="AA65">
        <f t="shared" si="9"/>
        <v>0.19542194049576</v>
      </c>
      <c r="AB65">
        <f t="shared" si="9"/>
        <v>0.19542194049576012</v>
      </c>
      <c r="AC65">
        <f t="shared" si="9"/>
        <v>0.19542194049576023</v>
      </c>
      <c r="AD65">
        <f t="shared" si="9"/>
        <v>0.19542194049576</v>
      </c>
      <c r="AE65">
        <f t="shared" si="9"/>
        <v>0.19542194049576089</v>
      </c>
      <c r="AF65">
        <f t="shared" si="9"/>
        <v>0.19542194049575989</v>
      </c>
    </row>
    <row r="66" spans="1:37" x14ac:dyDescent="0.45">
      <c r="A66" t="s">
        <v>192</v>
      </c>
      <c r="C66">
        <f t="shared" si="6"/>
        <v>0.20342226464380675</v>
      </c>
      <c r="D66">
        <f t="shared" si="9"/>
        <v>0.12460718301273843</v>
      </c>
      <c r="E66">
        <f t="shared" si="9"/>
        <v>0.15094991682693348</v>
      </c>
      <c r="F66">
        <f t="shared" si="9"/>
        <v>0.26251091099086454</v>
      </c>
      <c r="G66">
        <f t="shared" si="9"/>
        <v>0.19012300714646002</v>
      </c>
      <c r="H66">
        <f t="shared" si="9"/>
        <v>0.12038361162531352</v>
      </c>
      <c r="I66">
        <f t="shared" si="9"/>
        <v>7.3891721567437507E-2</v>
      </c>
      <c r="J66">
        <f t="shared" si="9"/>
        <v>0.26545685423107956</v>
      </c>
      <c r="K66">
        <f t="shared" si="9"/>
        <v>0.1742548978097006</v>
      </c>
      <c r="L66">
        <f t="shared" si="9"/>
        <v>0.1742548978097006</v>
      </c>
      <c r="M66">
        <f t="shared" si="9"/>
        <v>0.17425489780970072</v>
      </c>
      <c r="N66">
        <f t="shared" si="9"/>
        <v>0.17425489780970094</v>
      </c>
      <c r="O66">
        <f t="shared" si="9"/>
        <v>0.17425489780970083</v>
      </c>
      <c r="P66">
        <f t="shared" si="9"/>
        <v>0.17425489780970038</v>
      </c>
      <c r="Q66">
        <f t="shared" si="9"/>
        <v>0.17425489780970094</v>
      </c>
      <c r="R66">
        <f t="shared" si="9"/>
        <v>0.17425489780970094</v>
      </c>
      <c r="S66">
        <f t="shared" si="9"/>
        <v>0.17425489780970072</v>
      </c>
      <c r="T66">
        <f t="shared" si="9"/>
        <v>0.17425489780970072</v>
      </c>
      <c r="U66">
        <f t="shared" si="9"/>
        <v>0.17425489780970049</v>
      </c>
      <c r="V66">
        <f t="shared" si="9"/>
        <v>0.17425489780970072</v>
      </c>
      <c r="W66">
        <f t="shared" si="9"/>
        <v>0.17425489780970049</v>
      </c>
      <c r="X66">
        <f t="shared" si="9"/>
        <v>0.17425489780970072</v>
      </c>
      <c r="Y66">
        <f t="shared" si="9"/>
        <v>0.17425489780970083</v>
      </c>
      <c r="Z66">
        <f t="shared" si="9"/>
        <v>0.17425489780970105</v>
      </c>
      <c r="AA66">
        <f t="shared" si="9"/>
        <v>0.17425489780970072</v>
      </c>
      <c r="AB66">
        <f t="shared" si="9"/>
        <v>0.17425489780970094</v>
      </c>
      <c r="AC66">
        <f t="shared" si="9"/>
        <v>0.17425489780970083</v>
      </c>
      <c r="AD66">
        <f t="shared" si="9"/>
        <v>0.17425489780969994</v>
      </c>
      <c r="AE66">
        <f t="shared" si="9"/>
        <v>0.17425489780970094</v>
      </c>
      <c r="AF66">
        <f t="shared" si="9"/>
        <v>0.17425489780970072</v>
      </c>
    </row>
    <row r="69" spans="1:37" x14ac:dyDescent="0.45">
      <c r="A69" t="s">
        <v>249</v>
      </c>
      <c r="C69">
        <v>1</v>
      </c>
      <c r="D69">
        <v>2</v>
      </c>
      <c r="E69">
        <v>3</v>
      </c>
      <c r="F69">
        <v>4</v>
      </c>
      <c r="G69">
        <v>5</v>
      </c>
      <c r="H69">
        <v>6</v>
      </c>
      <c r="I69">
        <v>7</v>
      </c>
      <c r="J69">
        <v>8</v>
      </c>
      <c r="K69">
        <v>9</v>
      </c>
      <c r="L69">
        <v>10</v>
      </c>
      <c r="M69">
        <v>11</v>
      </c>
      <c r="N69">
        <v>12</v>
      </c>
      <c r="O69">
        <v>13</v>
      </c>
      <c r="P69">
        <v>14</v>
      </c>
      <c r="Q69">
        <v>15</v>
      </c>
      <c r="R69">
        <v>16</v>
      </c>
      <c r="S69">
        <v>17</v>
      </c>
      <c r="T69">
        <v>18</v>
      </c>
      <c r="U69">
        <v>19</v>
      </c>
      <c r="V69">
        <v>20</v>
      </c>
      <c r="W69">
        <v>21</v>
      </c>
      <c r="X69">
        <v>22</v>
      </c>
      <c r="Y69">
        <v>23</v>
      </c>
      <c r="Z69">
        <v>24</v>
      </c>
      <c r="AA69">
        <v>25</v>
      </c>
      <c r="AB69">
        <v>26</v>
      </c>
      <c r="AC69">
        <v>27</v>
      </c>
      <c r="AD69">
        <v>28</v>
      </c>
      <c r="AE69">
        <v>29</v>
      </c>
      <c r="AF69">
        <v>30</v>
      </c>
      <c r="AG69">
        <v>31</v>
      </c>
      <c r="AH69">
        <v>32</v>
      </c>
      <c r="AI69">
        <v>33</v>
      </c>
      <c r="AJ69">
        <v>34</v>
      </c>
      <c r="AK69">
        <v>35</v>
      </c>
    </row>
    <row r="70" spans="1:37" x14ac:dyDescent="0.45">
      <c r="A70" t="s">
        <v>115</v>
      </c>
      <c r="C70">
        <f ca="1">EXP($B$78*C$69 + $C$78*C$4/1000)</f>
        <v>0.84508194770790879</v>
      </c>
      <c r="D70">
        <f t="shared" ref="D70:AK70" ca="1" si="10">EXP($B$78*D$69 + $C$78*D$4/1000)</f>
        <v>0.71454614844132802</v>
      </c>
      <c r="E70">
        <f t="shared" ca="1" si="10"/>
        <v>0.60528566868557276</v>
      </c>
      <c r="F70">
        <f t="shared" ca="1" si="10"/>
        <v>0.51424438234280989</v>
      </c>
      <c r="G70">
        <f t="shared" ca="1" si="10"/>
        <v>0.43985187364348688</v>
      </c>
      <c r="H70">
        <f t="shared" ca="1" si="10"/>
        <v>0.37850324536851837</v>
      </c>
      <c r="I70">
        <f t="shared" ca="1" si="10"/>
        <v>0.32748289817882686</v>
      </c>
      <c r="J70">
        <f t="shared" ca="1" si="10"/>
        <v>0.28472193568805204</v>
      </c>
      <c r="K70">
        <f t="shared" ca="1" si="10"/>
        <v>0.24862736066861665</v>
      </c>
      <c r="L70">
        <f t="shared" ca="1" si="10"/>
        <v>0.21796030716079251</v>
      </c>
      <c r="M70">
        <f t="shared" ca="1" si="10"/>
        <v>0.1917482061890686</v>
      </c>
      <c r="N70">
        <f t="shared" ca="1" si="10"/>
        <v>0.16918251275421894</v>
      </c>
      <c r="O70">
        <f t="shared" ca="1" si="10"/>
        <v>0.14966783508911993</v>
      </c>
      <c r="P70">
        <f t="shared" ca="1" si="10"/>
        <v>0.13272126575446611</v>
      </c>
      <c r="Q70">
        <f t="shared" ca="1" si="10"/>
        <v>0.11794845854646809</v>
      </c>
      <c r="R70">
        <f t="shared" ca="1" si="10"/>
        <v>0.10502529689281005</v>
      </c>
      <c r="S70">
        <f t="shared" ca="1" si="10"/>
        <v>9.3683740617487937E-2</v>
      </c>
      <c r="T70">
        <f t="shared" ca="1" si="10"/>
        <v>8.3707519359043955E-2</v>
      </c>
      <c r="U70">
        <f t="shared" ca="1" si="10"/>
        <v>7.4906827614941482E-2</v>
      </c>
      <c r="V70">
        <f t="shared" ca="1" si="10"/>
        <v>6.7122652986353767E-2</v>
      </c>
      <c r="W70">
        <f t="shared" ca="1" si="10"/>
        <v>6.0221047513761457E-2</v>
      </c>
      <c r="X70">
        <f t="shared" ca="1" si="10"/>
        <v>5.4088587376158688E-2</v>
      </c>
      <c r="Y70">
        <f t="shared" ca="1" si="10"/>
        <v>4.8628752215039567E-2</v>
      </c>
      <c r="Z70">
        <f t="shared" ca="1" si="10"/>
        <v>4.3759020676175812E-2</v>
      </c>
      <c r="AA70">
        <f t="shared" ca="1" si="10"/>
        <v>3.9408527166013299E-2</v>
      </c>
      <c r="AB70">
        <f t="shared" ca="1" si="10"/>
        <v>3.5516160940557172E-2</v>
      </c>
      <c r="AC70">
        <f t="shared" ca="1" si="10"/>
        <v>3.2029015785657755E-2</v>
      </c>
      <c r="AD70">
        <f t="shared" ca="1" si="10"/>
        <v>2.8901119075487487E-2</v>
      </c>
      <c r="AE70">
        <f t="shared" ca="1" si="10"/>
        <v>2.6092384619718811E-2</v>
      </c>
      <c r="AF70">
        <f t="shared" ca="1" si="10"/>
        <v>2.3567745672496154E-2</v>
      </c>
      <c r="AG70">
        <f t="shared" si="10"/>
        <v>4.8634105691107633E-2</v>
      </c>
      <c r="AH70">
        <f t="shared" si="10"/>
        <v>4.4114787359660387E-2</v>
      </c>
      <c r="AI70">
        <f t="shared" si="10"/>
        <v>4.0015426132198502E-2</v>
      </c>
      <c r="AJ70">
        <f t="shared" si="10"/>
        <v>3.6296997546125344E-2</v>
      </c>
      <c r="AK70">
        <f t="shared" si="10"/>
        <v>3.292410348226487E-2</v>
      </c>
    </row>
    <row r="71" spans="1:37" x14ac:dyDescent="0.45">
      <c r="A71" t="s">
        <v>116</v>
      </c>
      <c r="C71">
        <f ca="1">EXP($B$79*C$69 + $C$79*C$4/1000)</f>
        <v>0.85310608394739862</v>
      </c>
      <c r="D71">
        <f t="shared" ref="D71:AK71" ca="1" si="11">EXP($B$79*D$69 + $C$79*D$4/1000)</f>
        <v>0.72815342160904439</v>
      </c>
      <c r="E71">
        <f t="shared" ca="1" si="11"/>
        <v>0.62256843707852305</v>
      </c>
      <c r="F71">
        <f t="shared" ca="1" si="11"/>
        <v>0.53375676759699442</v>
      </c>
      <c r="G71">
        <f t="shared" ca="1" si="11"/>
        <v>0.46049864261490342</v>
      </c>
      <c r="H71">
        <f t="shared" ca="1" si="11"/>
        <v>0.39954069502285855</v>
      </c>
      <c r="I71">
        <f t="shared" ca="1" si="11"/>
        <v>0.34840899977776518</v>
      </c>
      <c r="J71">
        <f t="shared" ca="1" si="11"/>
        <v>0.30520195259610466</v>
      </c>
      <c r="K71">
        <f t="shared" ca="1" si="11"/>
        <v>0.26844297882858487</v>
      </c>
      <c r="L71">
        <f t="shared" ca="1" si="11"/>
        <v>0.23697453002664495</v>
      </c>
      <c r="M71">
        <f t="shared" ca="1" si="11"/>
        <v>0.20988093189756243</v>
      </c>
      <c r="N71">
        <f t="shared" ca="1" si="11"/>
        <v>0.1863923965740745</v>
      </c>
      <c r="O71">
        <f t="shared" ca="1" si="11"/>
        <v>0.16594116458361102</v>
      </c>
      <c r="P71">
        <f t="shared" ca="1" si="11"/>
        <v>0.14806365359071458</v>
      </c>
      <c r="Q71">
        <f t="shared" ca="1" si="11"/>
        <v>0.13237885288049298</v>
      </c>
      <c r="R71">
        <f t="shared" ca="1" si="11"/>
        <v>0.11857165265847812</v>
      </c>
      <c r="S71">
        <f t="shared" ca="1" si="11"/>
        <v>0.10637988763723794</v>
      </c>
      <c r="T71">
        <f t="shared" ca="1" si="11"/>
        <v>9.5591328026243094E-2</v>
      </c>
      <c r="U71">
        <f t="shared" ca="1" si="11"/>
        <v>8.6018031132500644E-2</v>
      </c>
      <c r="V71">
        <f t="shared" ca="1" si="11"/>
        <v>7.7501678539471097E-2</v>
      </c>
      <c r="W71">
        <f t="shared" ca="1" si="11"/>
        <v>6.9908191359661143E-2</v>
      </c>
      <c r="X71">
        <f t="shared" ca="1" si="11"/>
        <v>6.3123439651149402E-2</v>
      </c>
      <c r="Y71">
        <f t="shared" ca="1" si="11"/>
        <v>5.7049803361452427E-2</v>
      </c>
      <c r="Z71">
        <f t="shared" ca="1" si="11"/>
        <v>5.160340005279395E-2</v>
      </c>
      <c r="AA71">
        <f t="shared" ca="1" si="11"/>
        <v>4.6711837818310835E-2</v>
      </c>
      <c r="AB71">
        <f t="shared" ca="1" si="11"/>
        <v>4.2312384194987028E-2</v>
      </c>
      <c r="AC71">
        <f t="shared" ca="1" si="11"/>
        <v>3.8350466361279624E-2</v>
      </c>
      <c r="AD71">
        <f t="shared" ca="1" si="11"/>
        <v>3.4778436527039915E-2</v>
      </c>
      <c r="AE71">
        <f t="shared" ca="1" si="11"/>
        <v>3.1554550670688811E-2</v>
      </c>
      <c r="AF71">
        <f t="shared" ca="1" si="11"/>
        <v>2.8642119743880309E-2</v>
      </c>
      <c r="AG71">
        <f t="shared" si="11"/>
        <v>5.6152649064385857E-2</v>
      </c>
      <c r="AH71">
        <f t="shared" si="11"/>
        <v>5.1171406506342179E-2</v>
      </c>
      <c r="AI71">
        <f t="shared" si="11"/>
        <v>4.6632044747076398E-2</v>
      </c>
      <c r="AJ71">
        <f t="shared" si="11"/>
        <v>4.2495365004747744E-2</v>
      </c>
      <c r="AK71">
        <f t="shared" si="11"/>
        <v>3.8725645780307717E-2</v>
      </c>
    </row>
    <row r="72" spans="1:37" x14ac:dyDescent="0.45">
      <c r="A72" t="s">
        <v>117</v>
      </c>
      <c r="B72" t="s">
        <v>250</v>
      </c>
      <c r="C72">
        <f ca="1">EXP($B$80*C$69 + $C$80*C$4/1000)</f>
        <v>0.91366755550616474</v>
      </c>
      <c r="D72">
        <f t="shared" ref="D72:AK72" ca="1" si="12">EXP($B$80*D$69 + $C$80*D$4/1000)</f>
        <v>0.83484561142918634</v>
      </c>
      <c r="E72">
        <f t="shared" ca="1" si="12"/>
        <v>0.76300311138755716</v>
      </c>
      <c r="F72">
        <f t="shared" ca="1" si="12"/>
        <v>0.69760580379099113</v>
      </c>
      <c r="G72">
        <f t="shared" ca="1" si="12"/>
        <v>0.63836404665837465</v>
      </c>
      <c r="H72">
        <f t="shared" ca="1" si="12"/>
        <v>0.58460529485503032</v>
      </c>
      <c r="I72">
        <f t="shared" ca="1" si="12"/>
        <v>0.53574541854383328</v>
      </c>
      <c r="J72">
        <f t="shared" ca="1" si="12"/>
        <v>0.49127487041283574</v>
      </c>
      <c r="K72">
        <f t="shared" ca="1" si="12"/>
        <v>0.4507473252861714</v>
      </c>
      <c r="L72">
        <f t="shared" ca="1" si="12"/>
        <v>0.4137703053632627</v>
      </c>
      <c r="M72">
        <f t="shared" ca="1" si="12"/>
        <v>0.37999740778382918</v>
      </c>
      <c r="N72">
        <f t="shared" ca="1" si="12"/>
        <v>0.34911174426468877</v>
      </c>
      <c r="O72">
        <f t="shared" ca="1" si="12"/>
        <v>0.32084498911798404</v>
      </c>
      <c r="P72">
        <f t="shared" ca="1" si="12"/>
        <v>0.29495719286534977</v>
      </c>
      <c r="Q72">
        <f t="shared" ca="1" si="12"/>
        <v>0.27123326023767552</v>
      </c>
      <c r="R72">
        <f t="shared" ca="1" si="12"/>
        <v>0.24947993833561921</v>
      </c>
      <c r="S72">
        <f t="shared" ca="1" si="12"/>
        <v>0.22952323147504483</v>
      </c>
      <c r="T72">
        <f t="shared" ca="1" si="12"/>
        <v>0.21120833681090065</v>
      </c>
      <c r="U72">
        <f t="shared" ca="1" si="12"/>
        <v>0.19439248709687473</v>
      </c>
      <c r="V72">
        <f t="shared" ca="1" si="12"/>
        <v>0.17894661049667734</v>
      </c>
      <c r="W72">
        <f t="shared" ca="1" si="12"/>
        <v>0.16475381213372114</v>
      </c>
      <c r="X72">
        <f t="shared" ca="1" si="12"/>
        <v>0.15170805441370214</v>
      </c>
      <c r="Y72">
        <f t="shared" ca="1" si="12"/>
        <v>0.13971300599660974</v>
      </c>
      <c r="Z72">
        <f t="shared" ca="1" si="12"/>
        <v>0.1286810343756139</v>
      </c>
      <c r="AA72">
        <f t="shared" ca="1" si="12"/>
        <v>0.11853232117708155</v>
      </c>
      <c r="AB72">
        <f t="shared" ca="1" si="12"/>
        <v>0.10919408270701339</v>
      </c>
      <c r="AC72">
        <f t="shared" ca="1" si="12"/>
        <v>0.10059988107648313</v>
      </c>
      <c r="AD72">
        <f t="shared" ca="1" si="12"/>
        <v>9.2689013555694269E-2</v>
      </c>
      <c r="AE72">
        <f t="shared" ca="1" si="12"/>
        <v>8.5405969724044767E-2</v>
      </c>
      <c r="AF72">
        <f t="shared" ca="1" si="12"/>
        <v>7.8699947575315274E-2</v>
      </c>
      <c r="AG72">
        <f t="shared" si="12"/>
        <v>8.0605752126917993E-2</v>
      </c>
      <c r="AH72">
        <f t="shared" si="12"/>
        <v>7.4316888735298597E-2</v>
      </c>
      <c r="AI72">
        <f t="shared" si="12"/>
        <v>6.851868266917846E-2</v>
      </c>
      <c r="AJ72">
        <f t="shared" si="12"/>
        <v>6.3172852828130621E-2</v>
      </c>
      <c r="AK72">
        <f t="shared" si="12"/>
        <v>5.824410480442329E-2</v>
      </c>
    </row>
    <row r="73" spans="1:37" x14ac:dyDescent="0.45">
      <c r="A73" t="s">
        <v>124</v>
      </c>
      <c r="B73" t="s">
        <v>252</v>
      </c>
      <c r="C73">
        <f ca="1">EXP($B$81*C$69 + $C$81*C$4/1000)</f>
        <v>0.83974081260652111</v>
      </c>
      <c r="D73">
        <f t="shared" ref="D73:AK73" ca="1" si="13">EXP($B$81*D$69 + $C$81*D$4/1000)</f>
        <v>0.70553885280432815</v>
      </c>
      <c r="E73">
        <f t="shared" ca="1" si="13"/>
        <v>0.59386486826272977</v>
      </c>
      <c r="F73">
        <f t="shared" ca="1" si="13"/>
        <v>0.50132709673190723</v>
      </c>
      <c r="G73">
        <f t="shared" ca="1" si="13"/>
        <v>0.426044043905981</v>
      </c>
      <c r="H73">
        <f t="shared" ca="1" si="13"/>
        <v>0.36424115635449561</v>
      </c>
      <c r="I73">
        <f t="shared" ca="1" si="13"/>
        <v>0.31308113461842035</v>
      </c>
      <c r="J73">
        <f t="shared" ca="1" si="13"/>
        <v>0.27040697608339664</v>
      </c>
      <c r="K73">
        <f t="shared" ca="1" si="13"/>
        <v>0.23456136259582672</v>
      </c>
      <c r="L73">
        <f t="shared" ca="1" si="13"/>
        <v>0.20425811753996279</v>
      </c>
      <c r="M73">
        <f t="shared" ca="1" si="13"/>
        <v>0.17848964198341299</v>
      </c>
      <c r="N73">
        <f t="shared" ca="1" si="13"/>
        <v>0.15642452588585617</v>
      </c>
      <c r="O73">
        <f t="shared" ca="1" si="13"/>
        <v>0.13744677461473401</v>
      </c>
      <c r="P73">
        <f t="shared" ca="1" si="13"/>
        <v>0.12105796564972164</v>
      </c>
      <c r="Q73">
        <f t="shared" ca="1" si="13"/>
        <v>0.10685206877857767</v>
      </c>
      <c r="R73">
        <f t="shared" ca="1" si="13"/>
        <v>9.4496185651634923E-2</v>
      </c>
      <c r="S73">
        <f t="shared" ca="1" si="13"/>
        <v>8.37157052878226E-2</v>
      </c>
      <c r="T73">
        <f t="shared" ca="1" si="13"/>
        <v>7.4288669036798066E-2</v>
      </c>
      <c r="U73">
        <f t="shared" ca="1" si="13"/>
        <v>6.6021992827234505E-2</v>
      </c>
      <c r="V73">
        <f t="shared" ca="1" si="13"/>
        <v>5.8754321672581614E-2</v>
      </c>
      <c r="W73">
        <f t="shared" ca="1" si="13"/>
        <v>5.2350087698775409E-2</v>
      </c>
      <c r="X73">
        <f t="shared" ca="1" si="13"/>
        <v>4.6694807266054607E-2</v>
      </c>
      <c r="Y73">
        <f t="shared" ca="1" si="13"/>
        <v>4.1691335522073131E-2</v>
      </c>
      <c r="Z73">
        <f t="shared" ca="1" si="13"/>
        <v>3.7256865523487059E-2</v>
      </c>
      <c r="AA73">
        <f t="shared" ca="1" si="13"/>
        <v>3.3320509965661126E-2</v>
      </c>
      <c r="AB73">
        <f t="shared" ca="1" si="13"/>
        <v>2.982134149205903E-2</v>
      </c>
      <c r="AC73">
        <f t="shared" ca="1" si="13"/>
        <v>2.6706796015590981E-2</v>
      </c>
      <c r="AD73">
        <f t="shared" ca="1" si="13"/>
        <v>2.3931364978703611E-2</v>
      </c>
      <c r="AE73">
        <f t="shared" ca="1" si="13"/>
        <v>2.1455518814142416E-2</v>
      </c>
      <c r="AF73">
        <f t="shared" ca="1" si="13"/>
        <v>1.9244816356831871E-2</v>
      </c>
      <c r="AG73">
        <f t="shared" si="13"/>
        <v>3.9127449577972782E-2</v>
      </c>
      <c r="AH73">
        <f t="shared" si="13"/>
        <v>3.5243393522358335E-2</v>
      </c>
      <c r="AI73">
        <f t="shared" si="13"/>
        <v>3.1744895217271231E-2</v>
      </c>
      <c r="AJ73">
        <f t="shared" si="13"/>
        <v>2.8593681585067081E-2</v>
      </c>
      <c r="AK73">
        <f t="shared" si="13"/>
        <v>2.5755278793403582E-2</v>
      </c>
    </row>
    <row r="74" spans="1:37" x14ac:dyDescent="0.45">
      <c r="A74" t="s">
        <v>125</v>
      </c>
      <c r="B74" t="s">
        <v>251</v>
      </c>
      <c r="C74">
        <f ca="1">EXP($B$82*C$69 + $C$82*C$4/1000)</f>
        <v>0.90394657527527911</v>
      </c>
      <c r="D74">
        <f t="shared" ref="D74:AK74" ca="1" si="14">EXP($B$82*D$69 + $C$82*D$4/1000)</f>
        <v>0.81732308325438874</v>
      </c>
      <c r="E74">
        <f t="shared" ca="1" si="14"/>
        <v>0.73963312525794445</v>
      </c>
      <c r="F74">
        <f t="shared" ca="1" si="14"/>
        <v>0.67024571717243209</v>
      </c>
      <c r="G74">
        <f t="shared" ca="1" si="14"/>
        <v>0.60927579180792146</v>
      </c>
      <c r="H74">
        <f t="shared" ca="1" si="14"/>
        <v>0.55541259186776382</v>
      </c>
      <c r="I74">
        <f t="shared" ca="1" si="14"/>
        <v>0.50759066681236653</v>
      </c>
      <c r="J74">
        <f t="shared" ca="1" si="14"/>
        <v>0.46493771965990183</v>
      </c>
      <c r="K74">
        <f t="shared" ca="1" si="14"/>
        <v>0.42673468212427718</v>
      </c>
      <c r="L74">
        <f t="shared" ca="1" si="14"/>
        <v>0.39238490405808812</v>
      </c>
      <c r="M74">
        <f t="shared" ca="1" si="14"/>
        <v>0.36139019532042599</v>
      </c>
      <c r="N74">
        <f t="shared" ca="1" si="14"/>
        <v>0.33329703877004041</v>
      </c>
      <c r="O74">
        <f t="shared" ca="1" si="14"/>
        <v>0.30776630230202501</v>
      </c>
      <c r="P74">
        <f t="shared" ca="1" si="14"/>
        <v>0.2845077546441182</v>
      </c>
      <c r="Q74">
        <f t="shared" ca="1" si="14"/>
        <v>0.2632718171229797</v>
      </c>
      <c r="R74">
        <f t="shared" ca="1" si="14"/>
        <v>0.24384287114320716</v>
      </c>
      <c r="S74">
        <f t="shared" ca="1" si="14"/>
        <v>0.22603380092204403</v>
      </c>
      <c r="T74">
        <f t="shared" ca="1" si="14"/>
        <v>0.20968933064077222</v>
      </c>
      <c r="U74">
        <f t="shared" ca="1" si="14"/>
        <v>0.19466362812639995</v>
      </c>
      <c r="V74">
        <f t="shared" ca="1" si="14"/>
        <v>0.18082903455294533</v>
      </c>
      <c r="W74">
        <f t="shared" ca="1" si="14"/>
        <v>0.16807332688070029</v>
      </c>
      <c r="X74">
        <f t="shared" ca="1" si="14"/>
        <v>0.15629745064243658</v>
      </c>
      <c r="Y74">
        <f t="shared" ca="1" si="14"/>
        <v>0.14541363438180721</v>
      </c>
      <c r="Z74">
        <f t="shared" ca="1" si="14"/>
        <v>0.13534381510527196</v>
      </c>
      <c r="AA74">
        <f t="shared" ca="1" si="14"/>
        <v>0.12601831822232407</v>
      </c>
      <c r="AB74">
        <f t="shared" ca="1" si="14"/>
        <v>0.11737474653869179</v>
      </c>
      <c r="AC74">
        <f t="shared" ca="1" si="14"/>
        <v>0.10935704162515762</v>
      </c>
      <c r="AD74">
        <f t="shared" ca="1" si="14"/>
        <v>0.10191468783425728</v>
      </c>
      <c r="AE74">
        <f t="shared" ca="1" si="14"/>
        <v>9.5002034777012995E-2</v>
      </c>
      <c r="AF74">
        <f t="shared" ca="1" si="14"/>
        <v>8.8577718507219197E-2</v>
      </c>
      <c r="AG74">
        <f t="shared" si="14"/>
        <v>0.12130072246314519</v>
      </c>
      <c r="AH74">
        <f t="shared" si="14"/>
        <v>0.11332105095323178</v>
      </c>
      <c r="AI74">
        <f t="shared" si="14"/>
        <v>0.10586631578428263</v>
      </c>
      <c r="AJ74">
        <f t="shared" si="14"/>
        <v>9.8901984436792045E-2</v>
      </c>
      <c r="AK74">
        <f t="shared" si="14"/>
        <v>9.2395796085572968E-2</v>
      </c>
    </row>
    <row r="75" spans="1:37" x14ac:dyDescent="0.45">
      <c r="A75" t="s">
        <v>118</v>
      </c>
      <c r="B75" t="s">
        <v>250</v>
      </c>
      <c r="C75">
        <f t="shared" ref="C75:R76" ca="1" si="15">EXP($B$80*C$69 + $C$80*C$4/1000)</f>
        <v>0.91366755550616474</v>
      </c>
      <c r="D75">
        <f t="shared" ca="1" si="15"/>
        <v>0.83484561142918634</v>
      </c>
      <c r="E75">
        <f t="shared" ca="1" si="15"/>
        <v>0.76300311138755716</v>
      </c>
      <c r="F75">
        <f t="shared" ca="1" si="15"/>
        <v>0.69760580379099113</v>
      </c>
      <c r="G75">
        <f t="shared" ca="1" si="15"/>
        <v>0.63836404665837465</v>
      </c>
      <c r="H75">
        <f t="shared" ca="1" si="15"/>
        <v>0.58460529485503032</v>
      </c>
      <c r="I75">
        <f t="shared" ca="1" si="15"/>
        <v>0.53574541854383328</v>
      </c>
      <c r="J75">
        <f t="shared" ca="1" si="15"/>
        <v>0.49127487041283574</v>
      </c>
      <c r="K75">
        <f t="shared" ca="1" si="15"/>
        <v>0.4507473252861714</v>
      </c>
      <c r="L75">
        <f t="shared" ca="1" si="15"/>
        <v>0.4137703053632627</v>
      </c>
      <c r="M75">
        <f t="shared" ca="1" si="15"/>
        <v>0.37999740778382918</v>
      </c>
      <c r="N75">
        <f t="shared" ca="1" si="15"/>
        <v>0.34911174426468877</v>
      </c>
      <c r="O75">
        <f t="shared" ca="1" si="15"/>
        <v>0.32084498911798404</v>
      </c>
      <c r="P75">
        <f t="shared" ca="1" si="15"/>
        <v>0.29495719286534977</v>
      </c>
      <c r="Q75">
        <f t="shared" ca="1" si="15"/>
        <v>0.27123326023767552</v>
      </c>
      <c r="R75">
        <f t="shared" ca="1" si="15"/>
        <v>0.24947993833561921</v>
      </c>
      <c r="S75">
        <f t="shared" ref="D75:AK76" ca="1" si="16">EXP($B$80*S$69 + $C$80*S$4/1000)</f>
        <v>0.22952323147504483</v>
      </c>
      <c r="T75">
        <f t="shared" ca="1" si="16"/>
        <v>0.21120833681090065</v>
      </c>
      <c r="U75">
        <f t="shared" ca="1" si="16"/>
        <v>0.19439248709687473</v>
      </c>
      <c r="V75">
        <f t="shared" ca="1" si="16"/>
        <v>0.17894661049667734</v>
      </c>
      <c r="W75">
        <f t="shared" ca="1" si="16"/>
        <v>0.16475381213372114</v>
      </c>
      <c r="X75">
        <f t="shared" ca="1" si="16"/>
        <v>0.15170805441370214</v>
      </c>
      <c r="Y75">
        <f t="shared" ca="1" si="16"/>
        <v>0.13971300599660974</v>
      </c>
      <c r="Z75">
        <f t="shared" ca="1" si="16"/>
        <v>0.1286810343756139</v>
      </c>
      <c r="AA75">
        <f t="shared" ca="1" si="16"/>
        <v>0.11853232117708155</v>
      </c>
      <c r="AB75">
        <f t="shared" ca="1" si="16"/>
        <v>0.10919408270701339</v>
      </c>
      <c r="AC75">
        <f t="shared" ca="1" si="16"/>
        <v>0.10059988107648313</v>
      </c>
      <c r="AD75">
        <f t="shared" ca="1" si="16"/>
        <v>9.2689013555694269E-2</v>
      </c>
      <c r="AE75">
        <f t="shared" ca="1" si="16"/>
        <v>8.5405969724044767E-2</v>
      </c>
      <c r="AF75">
        <f t="shared" ca="1" si="16"/>
        <v>7.8699947575315274E-2</v>
      </c>
      <c r="AG75">
        <f t="shared" si="16"/>
        <v>8.0605752126917993E-2</v>
      </c>
      <c r="AH75">
        <f t="shared" si="16"/>
        <v>7.4316888735298597E-2</v>
      </c>
      <c r="AI75">
        <f t="shared" si="16"/>
        <v>6.851868266917846E-2</v>
      </c>
      <c r="AJ75">
        <f t="shared" si="16"/>
        <v>6.3172852828130621E-2</v>
      </c>
      <c r="AK75">
        <f t="shared" si="16"/>
        <v>5.824410480442329E-2</v>
      </c>
    </row>
    <row r="76" spans="1:37" x14ac:dyDescent="0.45">
      <c r="A76" t="s">
        <v>138</v>
      </c>
      <c r="B76" t="s">
        <v>250</v>
      </c>
      <c r="C76">
        <f t="shared" ca="1" si="15"/>
        <v>0.91366755550616474</v>
      </c>
      <c r="D76">
        <f t="shared" ca="1" si="16"/>
        <v>0.83484561142918634</v>
      </c>
      <c r="E76">
        <f t="shared" ca="1" si="16"/>
        <v>0.76300311138755716</v>
      </c>
      <c r="F76">
        <f t="shared" ca="1" si="16"/>
        <v>0.69760580379099113</v>
      </c>
      <c r="G76">
        <f t="shared" ca="1" si="16"/>
        <v>0.63836404665837465</v>
      </c>
      <c r="H76">
        <f t="shared" ca="1" si="16"/>
        <v>0.58460529485503032</v>
      </c>
      <c r="I76">
        <f t="shared" ca="1" si="16"/>
        <v>0.53574541854383328</v>
      </c>
      <c r="J76">
        <f t="shared" ca="1" si="16"/>
        <v>0.49127487041283574</v>
      </c>
      <c r="K76">
        <f t="shared" ca="1" si="16"/>
        <v>0.4507473252861714</v>
      </c>
      <c r="L76">
        <f t="shared" ca="1" si="16"/>
        <v>0.4137703053632627</v>
      </c>
      <c r="M76">
        <f t="shared" ca="1" si="16"/>
        <v>0.37999740778382918</v>
      </c>
      <c r="N76">
        <f t="shared" ca="1" si="16"/>
        <v>0.34911174426468877</v>
      </c>
      <c r="O76">
        <f t="shared" ca="1" si="16"/>
        <v>0.32084498911798404</v>
      </c>
      <c r="P76">
        <f t="shared" ca="1" si="16"/>
        <v>0.29495719286534977</v>
      </c>
      <c r="Q76">
        <f t="shared" ca="1" si="16"/>
        <v>0.27123326023767552</v>
      </c>
      <c r="R76">
        <f t="shared" ca="1" si="16"/>
        <v>0.24947993833561921</v>
      </c>
      <c r="S76">
        <f t="shared" ca="1" si="16"/>
        <v>0.22952323147504483</v>
      </c>
      <c r="T76">
        <f t="shared" ca="1" si="16"/>
        <v>0.21120833681090065</v>
      </c>
      <c r="U76">
        <f t="shared" ca="1" si="16"/>
        <v>0.19439248709687473</v>
      </c>
      <c r="V76">
        <f t="shared" ca="1" si="16"/>
        <v>0.17894661049667734</v>
      </c>
      <c r="W76">
        <f t="shared" ca="1" si="16"/>
        <v>0.16475381213372114</v>
      </c>
      <c r="X76">
        <f t="shared" ca="1" si="16"/>
        <v>0.15170805441370214</v>
      </c>
      <c r="Y76">
        <f t="shared" ca="1" si="16"/>
        <v>0.13971300599660974</v>
      </c>
      <c r="Z76">
        <f t="shared" ca="1" si="16"/>
        <v>0.1286810343756139</v>
      </c>
      <c r="AA76">
        <f t="shared" ca="1" si="16"/>
        <v>0.11853232117708155</v>
      </c>
      <c r="AB76">
        <f t="shared" ca="1" si="16"/>
        <v>0.10919408270701339</v>
      </c>
      <c r="AC76">
        <f t="shared" ca="1" si="16"/>
        <v>0.10059988107648313</v>
      </c>
      <c r="AD76">
        <f t="shared" ca="1" si="16"/>
        <v>9.2689013555694269E-2</v>
      </c>
      <c r="AE76">
        <f t="shared" ca="1" si="16"/>
        <v>8.5405969724044767E-2</v>
      </c>
      <c r="AF76">
        <f t="shared" ca="1" si="16"/>
        <v>7.8699947575315274E-2</v>
      </c>
      <c r="AG76">
        <f t="shared" si="16"/>
        <v>8.0605752126917993E-2</v>
      </c>
      <c r="AH76">
        <f t="shared" si="16"/>
        <v>7.4316888735298597E-2</v>
      </c>
      <c r="AI76">
        <f t="shared" si="16"/>
        <v>6.851868266917846E-2</v>
      </c>
      <c r="AJ76">
        <f t="shared" si="16"/>
        <v>6.3172852828130621E-2</v>
      </c>
      <c r="AK76">
        <f t="shared" si="16"/>
        <v>5.824410480442329E-2</v>
      </c>
    </row>
    <row r="78" spans="1:37" x14ac:dyDescent="0.45">
      <c r="A78" t="s">
        <v>115</v>
      </c>
      <c r="B78">
        <f>-0.0975300074517685</f>
        <v>-9.75300074517685E-2</v>
      </c>
      <c r="C78">
        <f>-0.000956136815567892</f>
        <v>-9.5613681556789198E-4</v>
      </c>
    </row>
    <row r="79" spans="1:37" x14ac:dyDescent="0.45">
      <c r="A79" t="s">
        <v>116</v>
      </c>
      <c r="B79">
        <f>-0.0928929490503211</f>
        <v>-9.2892949050321097E-2</v>
      </c>
      <c r="C79">
        <v>-8.9112746251695195E-4</v>
      </c>
    </row>
    <row r="80" spans="1:37" x14ac:dyDescent="0.45">
      <c r="A80" t="s">
        <v>250</v>
      </c>
      <c r="B80">
        <f>-0.0812317827637767</f>
        <v>-8.1231782763776697E-2</v>
      </c>
      <c r="C80">
        <v>-1.22323141189712E-4</v>
      </c>
    </row>
    <row r="81" spans="1:37" x14ac:dyDescent="0.45">
      <c r="A81" t="s">
        <v>252</v>
      </c>
      <c r="B81">
        <f>-0.104546162034194</f>
        <v>-0.10454616203419401</v>
      </c>
      <c r="C81">
        <v>-9.4700868371815105E-4</v>
      </c>
    </row>
    <row r="82" spans="1:37" x14ac:dyDescent="0.45">
      <c r="A82" t="s">
        <v>251</v>
      </c>
      <c r="B82">
        <f>-0.0680478228079685</f>
        <v>-6.8047822807968505E-2</v>
      </c>
      <c r="C82">
        <v>-4.4486117759987497E-4</v>
      </c>
    </row>
    <row r="84" spans="1:37" x14ac:dyDescent="0.45">
      <c r="A84" t="s">
        <v>248</v>
      </c>
    </row>
    <row r="85" spans="1:37" x14ac:dyDescent="0.45">
      <c r="A85" t="s">
        <v>115</v>
      </c>
      <c r="C85">
        <f t="shared" ref="C85:C91" ca="1" si="17">1 - C70</f>
        <v>0.15491805229209121</v>
      </c>
      <c r="D85">
        <f t="shared" ref="D85:AG85" ca="1" si="18">1 - D70/C70</f>
        <v>0.15446525584960036</v>
      </c>
      <c r="E85">
        <f t="shared" ca="1" si="18"/>
        <v>0.15290891987045219</v>
      </c>
      <c r="F85">
        <f t="shared" ca="1" si="18"/>
        <v>0.15041044427908967</v>
      </c>
      <c r="G85">
        <f t="shared" ca="1" si="18"/>
        <v>0.14466372653484982</v>
      </c>
      <c r="H85">
        <f t="shared" ca="1" si="18"/>
        <v>0.13947565521726846</v>
      </c>
      <c r="I85">
        <f t="shared" ca="1" si="18"/>
        <v>0.13479500589226667</v>
      </c>
      <c r="J85">
        <f t="shared" ca="1" si="18"/>
        <v>0.13057464291593202</v>
      </c>
      <c r="K85">
        <f t="shared" ca="1" si="18"/>
        <v>0.1267713178902431</v>
      </c>
      <c r="L85">
        <f t="shared" ca="1" si="18"/>
        <v>0.12334544929147506</v>
      </c>
      <c r="M85">
        <f t="shared" ca="1" si="18"/>
        <v>0.12026089205493207</v>
      </c>
      <c r="N85">
        <f t="shared" ca="1" si="18"/>
        <v>0.11768398715865591</v>
      </c>
      <c r="O85">
        <f t="shared" ca="1" si="18"/>
        <v>0.115346895771959</v>
      </c>
      <c r="P85">
        <f t="shared" ca="1" si="18"/>
        <v>0.11322786438758181</v>
      </c>
      <c r="Q85">
        <f t="shared" ca="1" si="18"/>
        <v>0.11130700964928764</v>
      </c>
      <c r="R85">
        <f t="shared" ca="1" si="18"/>
        <v>0.10956617672596969</v>
      </c>
      <c r="S85">
        <f t="shared" ca="1" si="18"/>
        <v>0.10798880470575989</v>
      </c>
      <c r="T85">
        <f t="shared" ca="1" si="18"/>
        <v>0.10648828913842201</v>
      </c>
      <c r="U85">
        <f t="shared" ca="1" si="18"/>
        <v>0.10513621490028813</v>
      </c>
      <c r="V85">
        <f t="shared" ca="1" si="18"/>
        <v>0.10391809233468363</v>
      </c>
      <c r="W85">
        <f t="shared" ca="1" si="18"/>
        <v>0.10282080885562472</v>
      </c>
      <c r="X85">
        <f t="shared" ca="1" si="18"/>
        <v>0.10183250525825549</v>
      </c>
      <c r="Y85">
        <f t="shared" ca="1" si="18"/>
        <v>0.10094246172762356</v>
      </c>
      <c r="Z85">
        <f t="shared" ca="1" si="18"/>
        <v>0.10014099307606084</v>
      </c>
      <c r="AA85">
        <f t="shared" ca="1" si="18"/>
        <v>9.9419352694314234E-2</v>
      </c>
      <c r="AB85">
        <f t="shared" ca="1" si="18"/>
        <v>9.8769644677636714E-2</v>
      </c>
      <c r="AC85">
        <f t="shared" ca="1" si="18"/>
        <v>9.8184743580135181E-2</v>
      </c>
      <c r="AD85">
        <f t="shared" ca="1" si="18"/>
        <v>9.7658221254831923E-2</v>
      </c>
      <c r="AE85">
        <f t="shared" ca="1" si="18"/>
        <v>9.7184280249926647E-2</v>
      </c>
      <c r="AF85">
        <f t="shared" ca="1" si="18"/>
        <v>9.6757693251030452E-2</v>
      </c>
      <c r="AG85">
        <f t="shared" ca="1" si="18"/>
        <v>-1.0635875135000386</v>
      </c>
      <c r="AH85">
        <f t="shared" ref="AH85:AK91" si="19">1 - AH70/AG70</f>
        <v>9.2924877865566802E-2</v>
      </c>
      <c r="AI85">
        <f t="shared" si="19"/>
        <v>9.2924877865566691E-2</v>
      </c>
      <c r="AJ85">
        <f t="shared" si="19"/>
        <v>9.2924877865566802E-2</v>
      </c>
      <c r="AK85">
        <f t="shared" si="19"/>
        <v>9.2924877865566802E-2</v>
      </c>
    </row>
    <row r="86" spans="1:37" x14ac:dyDescent="0.45">
      <c r="A86" t="s">
        <v>116</v>
      </c>
      <c r="C86">
        <f t="shared" ca="1" si="17"/>
        <v>0.14689391605260138</v>
      </c>
      <c r="D86">
        <f t="shared" ref="D86:AG86" ca="1" si="20">1 - D71/C71</f>
        <v>0.14646790673463139</v>
      </c>
      <c r="E86">
        <f t="shared" ca="1" si="20"/>
        <v>0.14500376074207533</v>
      </c>
      <c r="F86">
        <f t="shared" ca="1" si="20"/>
        <v>0.14265366535169699</v>
      </c>
      <c r="G86">
        <f t="shared" ca="1" si="20"/>
        <v>0.13725001616729571</v>
      </c>
      <c r="H86">
        <f t="shared" ca="1" si="20"/>
        <v>0.13237378344027295</v>
      </c>
      <c r="I86">
        <f t="shared" ca="1" si="20"/>
        <v>0.12797618836341074</v>
      </c>
      <c r="J86">
        <f t="shared" ca="1" si="20"/>
        <v>0.12401243139304785</v>
      </c>
      <c r="K86">
        <f t="shared" ca="1" si="20"/>
        <v>0.12044147638912894</v>
      </c>
      <c r="L86">
        <f t="shared" ca="1" si="20"/>
        <v>0.11722582180863894</v>
      </c>
      <c r="M86">
        <f t="shared" ca="1" si="20"/>
        <v>0.11433126642781466</v>
      </c>
      <c r="N86">
        <f t="shared" ca="1" si="20"/>
        <v>0.11191362221963119</v>
      </c>
      <c r="O86">
        <f t="shared" ca="1" si="20"/>
        <v>0.10972138545541965</v>
      </c>
      <c r="P86">
        <f t="shared" ca="1" si="20"/>
        <v>0.10773403355192612</v>
      </c>
      <c r="Q86">
        <f t="shared" ca="1" si="20"/>
        <v>0.10593282233584722</v>
      </c>
      <c r="R86">
        <f t="shared" ca="1" si="20"/>
        <v>0.10430064864272182</v>
      </c>
      <c r="S86">
        <f t="shared" ca="1" si="20"/>
        <v>0.10282192031476634</v>
      </c>
      <c r="T86">
        <f t="shared" ca="1" si="20"/>
        <v>0.10141540709071351</v>
      </c>
      <c r="U86">
        <f t="shared" ca="1" si="20"/>
        <v>0.10014817338989424</v>
      </c>
      <c r="V86">
        <f t="shared" ca="1" si="20"/>
        <v>9.9006597580815425E-2</v>
      </c>
      <c r="W86">
        <f t="shared" ca="1" si="20"/>
        <v>9.7978357667990901E-2</v>
      </c>
      <c r="X86">
        <f t="shared" ca="1" si="20"/>
        <v>9.7052313563739556E-2</v>
      </c>
      <c r="Y86">
        <f t="shared" ca="1" si="20"/>
        <v>9.6218398795484217E-2</v>
      </c>
      <c r="Z86">
        <f t="shared" ca="1" si="20"/>
        <v>9.5467521143789202E-2</v>
      </c>
      <c r="AA86">
        <f t="shared" ca="1" si="20"/>
        <v>9.4791471675872097E-2</v>
      </c>
      <c r="AB86">
        <f t="shared" ca="1" si="20"/>
        <v>9.4182841626480385E-2</v>
      </c>
      <c r="AC86">
        <f t="shared" ca="1" si="20"/>
        <v>9.3634946578519562E-2</v>
      </c>
      <c r="AD86">
        <f t="shared" ca="1" si="20"/>
        <v>9.3141757406272174E-2</v>
      </c>
      <c r="AE86">
        <f t="shared" ca="1" si="20"/>
        <v>9.2697837461570787E-2</v>
      </c>
      <c r="AF86">
        <f t="shared" ca="1" si="20"/>
        <v>9.2298285505737709E-2</v>
      </c>
      <c r="AG86">
        <f t="shared" ca="1" si="20"/>
        <v>-0.96049208531025232</v>
      </c>
      <c r="AH86">
        <f t="shared" si="19"/>
        <v>8.870895035302917E-2</v>
      </c>
      <c r="AI86">
        <f t="shared" si="19"/>
        <v>8.870895035302917E-2</v>
      </c>
      <c r="AJ86">
        <f t="shared" si="19"/>
        <v>8.8708950353029614E-2</v>
      </c>
      <c r="AK86">
        <f t="shared" si="19"/>
        <v>8.8708950353029281E-2</v>
      </c>
    </row>
    <row r="87" spans="1:37" x14ac:dyDescent="0.45">
      <c r="A87" t="s">
        <v>117</v>
      </c>
      <c r="C87">
        <f t="shared" ca="1" si="17"/>
        <v>8.6332444493835259E-2</v>
      </c>
      <c r="D87">
        <f t="shared" ref="D87:AG87" ca="1" si="21">1 - D72/C72</f>
        <v>8.6269829329018499E-2</v>
      </c>
      <c r="E87">
        <f t="shared" ca="1" si="21"/>
        <v>8.6054833442366419E-2</v>
      </c>
      <c r="F87">
        <f t="shared" ca="1" si="21"/>
        <v>8.5710407494456908E-2</v>
      </c>
      <c r="G87">
        <f t="shared" ca="1" si="21"/>
        <v>8.4921537078217701E-2</v>
      </c>
      <c r="H87">
        <f t="shared" ca="1" si="21"/>
        <v>8.4213313836757675E-2</v>
      </c>
      <c r="I87">
        <f t="shared" ca="1" si="21"/>
        <v>8.357754666473427E-2</v>
      </c>
      <c r="J87">
        <f t="shared" ca="1" si="21"/>
        <v>8.3006865932459872E-2</v>
      </c>
      <c r="K87">
        <f t="shared" ca="1" si="21"/>
        <v>8.2494643156910574E-2</v>
      </c>
      <c r="L87">
        <f t="shared" ca="1" si="21"/>
        <v>8.2034918120551525E-2</v>
      </c>
      <c r="M87">
        <f t="shared" ca="1" si="21"/>
        <v>8.1622332829764499E-2</v>
      </c>
      <c r="N87">
        <f t="shared" ca="1" si="21"/>
        <v>8.1278616344431676E-2</v>
      </c>
      <c r="O87">
        <f t="shared" ca="1" si="21"/>
        <v>8.0967643200434702E-2</v>
      </c>
      <c r="P87">
        <f t="shared" ca="1" si="21"/>
        <v>8.0686303762452005E-2</v>
      </c>
      <c r="Q87">
        <f t="shared" ca="1" si="21"/>
        <v>8.0431781972187477E-2</v>
      </c>
      <c r="R87">
        <f t="shared" ca="1" si="21"/>
        <v>8.0201527950496843E-2</v>
      </c>
      <c r="S87">
        <f t="shared" ca="1" si="21"/>
        <v>7.9993233098074268E-2</v>
      </c>
      <c r="T87">
        <f t="shared" ca="1" si="21"/>
        <v>7.9795385183636602E-2</v>
      </c>
      <c r="U87">
        <f t="shared" ca="1" si="21"/>
        <v>7.9617357761220919E-2</v>
      </c>
      <c r="V87">
        <f t="shared" ca="1" si="21"/>
        <v>7.9457168488718422E-2</v>
      </c>
      <c r="W87">
        <f t="shared" ca="1" si="21"/>
        <v>7.9313032661324057E-2</v>
      </c>
      <c r="X87">
        <f t="shared" ca="1" si="21"/>
        <v>7.9183343626856528E-2</v>
      </c>
      <c r="Y87">
        <f t="shared" ca="1" si="21"/>
        <v>7.9066655118932294E-2</v>
      </c>
      <c r="Z87">
        <f t="shared" ca="1" si="21"/>
        <v>7.8961665324583596E-2</v>
      </c>
      <c r="AA87">
        <f t="shared" ca="1" si="21"/>
        <v>7.8867202519593782E-2</v>
      </c>
      <c r="AB87">
        <f t="shared" ca="1" si="21"/>
        <v>7.8782212120163342E-2</v>
      </c>
      <c r="AC87">
        <f t="shared" ca="1" si="21"/>
        <v>7.870574501358274E-2</v>
      </c>
      <c r="AD87">
        <f t="shared" ca="1" si="21"/>
        <v>7.8636947043450811E-2</v>
      </c>
      <c r="AE87">
        <f t="shared" ca="1" si="21"/>
        <v>7.8575049536732E-2</v>
      </c>
      <c r="AF87">
        <f t="shared" ca="1" si="21"/>
        <v>7.8519360770650137E-2</v>
      </c>
      <c r="AG87">
        <f t="shared" ca="1" si="21"/>
        <v>-2.421608413117271E-2</v>
      </c>
      <c r="AH87">
        <f t="shared" si="19"/>
        <v>7.8020032388225191E-2</v>
      </c>
      <c r="AI87">
        <f t="shared" si="19"/>
        <v>7.8020032388225413E-2</v>
      </c>
      <c r="AJ87">
        <f t="shared" si="19"/>
        <v>7.8020032388225302E-2</v>
      </c>
      <c r="AK87">
        <f t="shared" si="19"/>
        <v>7.8020032388225191E-2</v>
      </c>
    </row>
    <row r="88" spans="1:37" x14ac:dyDescent="0.45">
      <c r="A88" t="s">
        <v>124</v>
      </c>
      <c r="C88">
        <f t="shared" ca="1" si="17"/>
        <v>0.16025918739347889</v>
      </c>
      <c r="D88">
        <f t="shared" ref="D88:AG88" ca="1" si="22">1 - D73/C73</f>
        <v>0.15981354935653969</v>
      </c>
      <c r="E88">
        <f t="shared" ca="1" si="22"/>
        <v>0.15828183536275031</v>
      </c>
      <c r="F88">
        <f t="shared" ca="1" si="22"/>
        <v>0.15582294302326571</v>
      </c>
      <c r="G88">
        <f t="shared" ca="1" si="22"/>
        <v>0.15016753197002053</v>
      </c>
      <c r="H88">
        <f t="shared" ca="1" si="22"/>
        <v>0.14506220292361127</v>
      </c>
      <c r="I88">
        <f t="shared" ca="1" si="22"/>
        <v>0.14045645541022844</v>
      </c>
      <c r="J88">
        <f t="shared" ca="1" si="22"/>
        <v>0.13630383250985234</v>
      </c>
      <c r="K88">
        <f t="shared" ca="1" si="22"/>
        <v>0.13256171866111444</v>
      </c>
      <c r="L88">
        <f t="shared" ca="1" si="22"/>
        <v>0.1291911196307276</v>
      </c>
      <c r="M88">
        <f t="shared" ca="1" si="22"/>
        <v>0.1261564331782713</v>
      </c>
      <c r="N88">
        <f t="shared" ca="1" si="22"/>
        <v>0.12362126929251904</v>
      </c>
      <c r="O88">
        <f t="shared" ca="1" si="22"/>
        <v>0.12132209551953721</v>
      </c>
      <c r="P88">
        <f t="shared" ca="1" si="22"/>
        <v>0.11923749401141293</v>
      </c>
      <c r="Q88">
        <f t="shared" ca="1" si="22"/>
        <v>0.11734789028462944</v>
      </c>
      <c r="R88">
        <f t="shared" ca="1" si="22"/>
        <v>0.11563541322299531</v>
      </c>
      <c r="S88">
        <f t="shared" ca="1" si="22"/>
        <v>0.11408376210607185</v>
      </c>
      <c r="T88">
        <f t="shared" ca="1" si="22"/>
        <v>0.1126077385194747</v>
      </c>
      <c r="U88">
        <f t="shared" ca="1" si="22"/>
        <v>0.11127775361635239</v>
      </c>
      <c r="V88">
        <f t="shared" ca="1" si="22"/>
        <v>0.11007954839640843</v>
      </c>
      <c r="W88">
        <f t="shared" ca="1" si="22"/>
        <v>0.10900021975395924</v>
      </c>
      <c r="X88">
        <f t="shared" ca="1" si="22"/>
        <v>0.10802809854419959</v>
      </c>
      <c r="Y88">
        <f t="shared" ca="1" si="22"/>
        <v>0.10715263724021862</v>
      </c>
      <c r="Z88">
        <f t="shared" ca="1" si="22"/>
        <v>0.10636430670920283</v>
      </c>
      <c r="AA88">
        <f t="shared" ca="1" si="22"/>
        <v>0.10565450159365719</v>
      </c>
      <c r="AB88">
        <f t="shared" ca="1" si="22"/>
        <v>0.10501545376130816</v>
      </c>
      <c r="AC88">
        <f t="shared" ca="1" si="22"/>
        <v>0.10444015328074374</v>
      </c>
      <c r="AD88">
        <f t="shared" ca="1" si="22"/>
        <v>0.10392227638489915</v>
      </c>
      <c r="AE88">
        <f t="shared" ca="1" si="22"/>
        <v>0.10345611989806835</v>
      </c>
      <c r="AF88">
        <f t="shared" ca="1" si="22"/>
        <v>0.10303654162179288</v>
      </c>
      <c r="AG88">
        <f t="shared" ca="1" si="22"/>
        <v>-1.0331422681558933</v>
      </c>
      <c r="AH88">
        <f t="shared" si="19"/>
        <v>9.9266783230385069E-2</v>
      </c>
      <c r="AI88">
        <f t="shared" si="19"/>
        <v>9.9266783230385069E-2</v>
      </c>
      <c r="AJ88">
        <f t="shared" si="19"/>
        <v>9.9266783230385069E-2</v>
      </c>
      <c r="AK88">
        <f t="shared" si="19"/>
        <v>9.9266783230384736E-2</v>
      </c>
    </row>
    <row r="89" spans="1:37" x14ac:dyDescent="0.45">
      <c r="A89" t="s">
        <v>125</v>
      </c>
      <c r="C89">
        <f t="shared" ca="1" si="17"/>
        <v>9.6053424724720893E-2</v>
      </c>
      <c r="D89">
        <f t="shared" ref="D89:AG89" ca="1" si="23">1 - D74/C74</f>
        <v>9.5828110189488669E-2</v>
      </c>
      <c r="E89">
        <f t="shared" ca="1" si="23"/>
        <v>9.5054158616322382E-2</v>
      </c>
      <c r="F89">
        <f t="shared" ca="1" si="23"/>
        <v>9.3813278118545229E-2</v>
      </c>
      <c r="G89">
        <f t="shared" ca="1" si="23"/>
        <v>9.0966527353169346E-2</v>
      </c>
      <c r="H89">
        <f t="shared" ca="1" si="23"/>
        <v>8.8405284871614254E-2</v>
      </c>
      <c r="I89">
        <f t="shared" ca="1" si="23"/>
        <v>8.6101622029453484E-2</v>
      </c>
      <c r="J89">
        <f t="shared" ca="1" si="23"/>
        <v>8.4030203747287535E-2</v>
      </c>
      <c r="K89">
        <f t="shared" ca="1" si="23"/>
        <v>8.2168075250099837E-2</v>
      </c>
      <c r="L89">
        <f t="shared" ca="1" si="23"/>
        <v>8.0494460621753361E-2</v>
      </c>
      <c r="M89">
        <f t="shared" ca="1" si="23"/>
        <v>7.8990573839899159E-2</v>
      </c>
      <c r="N89">
        <f t="shared" ca="1" si="23"/>
        <v>7.7736355092524967E-2</v>
      </c>
      <c r="O89">
        <f t="shared" ca="1" si="23"/>
        <v>7.6600549954571995E-2</v>
      </c>
      <c r="P89">
        <f t="shared" ca="1" si="23"/>
        <v>7.5572106120578963E-2</v>
      </c>
      <c r="Q89">
        <f t="shared" ca="1" si="23"/>
        <v>7.4640979637626614E-2</v>
      </c>
      <c r="R89">
        <f t="shared" ca="1" si="23"/>
        <v>7.3798047174555292E-2</v>
      </c>
      <c r="S89">
        <f t="shared" ca="1" si="23"/>
        <v>7.3035025127734743E-2</v>
      </c>
      <c r="T89">
        <f t="shared" ca="1" si="23"/>
        <v>7.2309850184348323E-2</v>
      </c>
      <c r="U89">
        <f t="shared" ca="1" si="23"/>
        <v>7.1656972095129889E-2</v>
      </c>
      <c r="V89">
        <f t="shared" ca="1" si="23"/>
        <v>7.1069226987136358E-2</v>
      </c>
      <c r="W89">
        <f t="shared" ca="1" si="23"/>
        <v>7.0540152491442298E-2</v>
      </c>
      <c r="X89">
        <f t="shared" ca="1" si="23"/>
        <v>7.0063920651861178E-2</v>
      </c>
      <c r="Y89">
        <f t="shared" ca="1" si="23"/>
        <v>6.9635276940814617E-2</v>
      </c>
      <c r="Z89">
        <f t="shared" ca="1" si="23"/>
        <v>6.9249484887333845E-2</v>
      </c>
      <c r="AA89">
        <f t="shared" ca="1" si="23"/>
        <v>6.8902275849800909E-2</v>
      </c>
      <c r="AB89">
        <f t="shared" ca="1" si="23"/>
        <v>6.8589803494942037E-2</v>
      </c>
      <c r="AC89">
        <f t="shared" ca="1" si="23"/>
        <v>6.8308602573988852E-2</v>
      </c>
      <c r="AD89">
        <f t="shared" ca="1" si="23"/>
        <v>6.8055551616058252E-2</v>
      </c>
      <c r="AE89">
        <f t="shared" ca="1" si="23"/>
        <v>6.78278391872843E-2</v>
      </c>
      <c r="AF89">
        <f t="shared" ca="1" si="23"/>
        <v>6.7622933391614515E-2</v>
      </c>
      <c r="AG89">
        <f t="shared" ca="1" si="23"/>
        <v>-0.36942703545992805</v>
      </c>
      <c r="AH89">
        <f t="shared" si="19"/>
        <v>6.5784204313687256E-2</v>
      </c>
      <c r="AI89">
        <f t="shared" si="19"/>
        <v>6.5784204313687145E-2</v>
      </c>
      <c r="AJ89">
        <f t="shared" si="19"/>
        <v>6.5784204313687256E-2</v>
      </c>
      <c r="AK89">
        <f t="shared" si="19"/>
        <v>6.5784204313687589E-2</v>
      </c>
    </row>
    <row r="90" spans="1:37" x14ac:dyDescent="0.45">
      <c r="A90" t="s">
        <v>118</v>
      </c>
      <c r="C90">
        <f t="shared" ca="1" si="17"/>
        <v>8.6332444493835259E-2</v>
      </c>
      <c r="D90">
        <f t="shared" ref="D90:AG90" ca="1" si="24">1 - D75/C75</f>
        <v>8.6269829329018499E-2</v>
      </c>
      <c r="E90">
        <f t="shared" ca="1" si="24"/>
        <v>8.6054833442366419E-2</v>
      </c>
      <c r="F90">
        <f t="shared" ca="1" si="24"/>
        <v>8.5710407494456908E-2</v>
      </c>
      <c r="G90">
        <f t="shared" ca="1" si="24"/>
        <v>8.4921537078217701E-2</v>
      </c>
      <c r="H90">
        <f t="shared" ca="1" si="24"/>
        <v>8.4213313836757675E-2</v>
      </c>
      <c r="I90">
        <f t="shared" ca="1" si="24"/>
        <v>8.357754666473427E-2</v>
      </c>
      <c r="J90">
        <f t="shared" ca="1" si="24"/>
        <v>8.3006865932459872E-2</v>
      </c>
      <c r="K90">
        <f t="shared" ca="1" si="24"/>
        <v>8.2494643156910574E-2</v>
      </c>
      <c r="L90">
        <f t="shared" ca="1" si="24"/>
        <v>8.2034918120551525E-2</v>
      </c>
      <c r="M90">
        <f t="shared" ca="1" si="24"/>
        <v>8.1622332829764499E-2</v>
      </c>
      <c r="N90">
        <f t="shared" ca="1" si="24"/>
        <v>8.1278616344431676E-2</v>
      </c>
      <c r="O90">
        <f t="shared" ca="1" si="24"/>
        <v>8.0967643200434702E-2</v>
      </c>
      <c r="P90">
        <f t="shared" ca="1" si="24"/>
        <v>8.0686303762452005E-2</v>
      </c>
      <c r="Q90">
        <f t="shared" ca="1" si="24"/>
        <v>8.0431781972187477E-2</v>
      </c>
      <c r="R90">
        <f t="shared" ca="1" si="24"/>
        <v>8.0201527950496843E-2</v>
      </c>
      <c r="S90">
        <f t="shared" ca="1" si="24"/>
        <v>7.9993233098074268E-2</v>
      </c>
      <c r="T90">
        <f t="shared" ca="1" si="24"/>
        <v>7.9795385183636602E-2</v>
      </c>
      <c r="U90">
        <f t="shared" ca="1" si="24"/>
        <v>7.9617357761220919E-2</v>
      </c>
      <c r="V90">
        <f t="shared" ca="1" si="24"/>
        <v>7.9457168488718422E-2</v>
      </c>
      <c r="W90">
        <f t="shared" ca="1" si="24"/>
        <v>7.9313032661324057E-2</v>
      </c>
      <c r="X90">
        <f t="shared" ca="1" si="24"/>
        <v>7.9183343626856528E-2</v>
      </c>
      <c r="Y90">
        <f t="shared" ca="1" si="24"/>
        <v>7.9066655118932294E-2</v>
      </c>
      <c r="Z90">
        <f t="shared" ca="1" si="24"/>
        <v>7.8961665324583596E-2</v>
      </c>
      <c r="AA90">
        <f t="shared" ca="1" si="24"/>
        <v>7.8867202519593782E-2</v>
      </c>
      <c r="AB90">
        <f t="shared" ca="1" si="24"/>
        <v>7.8782212120163342E-2</v>
      </c>
      <c r="AC90">
        <f t="shared" ca="1" si="24"/>
        <v>7.870574501358274E-2</v>
      </c>
      <c r="AD90">
        <f t="shared" ca="1" si="24"/>
        <v>7.8636947043450811E-2</v>
      </c>
      <c r="AE90">
        <f t="shared" ca="1" si="24"/>
        <v>7.8575049536732E-2</v>
      </c>
      <c r="AF90">
        <f t="shared" ca="1" si="24"/>
        <v>7.8519360770650137E-2</v>
      </c>
      <c r="AG90">
        <f t="shared" ca="1" si="24"/>
        <v>-2.421608413117271E-2</v>
      </c>
      <c r="AH90">
        <f t="shared" si="19"/>
        <v>7.8020032388225191E-2</v>
      </c>
      <c r="AI90">
        <f t="shared" si="19"/>
        <v>7.8020032388225413E-2</v>
      </c>
      <c r="AJ90">
        <f t="shared" si="19"/>
        <v>7.8020032388225302E-2</v>
      </c>
      <c r="AK90">
        <f t="shared" si="19"/>
        <v>7.8020032388225191E-2</v>
      </c>
    </row>
    <row r="91" spans="1:37" x14ac:dyDescent="0.45">
      <c r="A91" t="s">
        <v>138</v>
      </c>
      <c r="C91">
        <f t="shared" ca="1" si="17"/>
        <v>8.6332444493835259E-2</v>
      </c>
      <c r="D91">
        <f t="shared" ref="D91:AG91" ca="1" si="25">1 - D76/C76</f>
        <v>8.6269829329018499E-2</v>
      </c>
      <c r="E91">
        <f t="shared" ca="1" si="25"/>
        <v>8.6054833442366419E-2</v>
      </c>
      <c r="F91">
        <f t="shared" ca="1" si="25"/>
        <v>8.5710407494456908E-2</v>
      </c>
      <c r="G91">
        <f t="shared" ca="1" si="25"/>
        <v>8.4921537078217701E-2</v>
      </c>
      <c r="H91">
        <f t="shared" ca="1" si="25"/>
        <v>8.4213313836757675E-2</v>
      </c>
      <c r="I91">
        <f t="shared" ca="1" si="25"/>
        <v>8.357754666473427E-2</v>
      </c>
      <c r="J91">
        <f t="shared" ca="1" si="25"/>
        <v>8.3006865932459872E-2</v>
      </c>
      <c r="K91">
        <f t="shared" ca="1" si="25"/>
        <v>8.2494643156910574E-2</v>
      </c>
      <c r="L91">
        <f t="shared" ca="1" si="25"/>
        <v>8.2034918120551525E-2</v>
      </c>
      <c r="M91">
        <f t="shared" ca="1" si="25"/>
        <v>8.1622332829764499E-2</v>
      </c>
      <c r="N91">
        <f t="shared" ca="1" si="25"/>
        <v>8.1278616344431676E-2</v>
      </c>
      <c r="O91">
        <f t="shared" ca="1" si="25"/>
        <v>8.0967643200434702E-2</v>
      </c>
      <c r="P91">
        <f t="shared" ca="1" si="25"/>
        <v>8.0686303762452005E-2</v>
      </c>
      <c r="Q91">
        <f t="shared" ca="1" si="25"/>
        <v>8.0431781972187477E-2</v>
      </c>
      <c r="R91">
        <f t="shared" ca="1" si="25"/>
        <v>8.0201527950496843E-2</v>
      </c>
      <c r="S91">
        <f t="shared" ca="1" si="25"/>
        <v>7.9993233098074268E-2</v>
      </c>
      <c r="T91">
        <f t="shared" ca="1" si="25"/>
        <v>7.9795385183636602E-2</v>
      </c>
      <c r="U91">
        <f t="shared" ca="1" si="25"/>
        <v>7.9617357761220919E-2</v>
      </c>
      <c r="V91">
        <f t="shared" ca="1" si="25"/>
        <v>7.9457168488718422E-2</v>
      </c>
      <c r="W91">
        <f t="shared" ca="1" si="25"/>
        <v>7.9313032661324057E-2</v>
      </c>
      <c r="X91">
        <f t="shared" ca="1" si="25"/>
        <v>7.9183343626856528E-2</v>
      </c>
      <c r="Y91">
        <f t="shared" ca="1" si="25"/>
        <v>7.9066655118932294E-2</v>
      </c>
      <c r="Z91">
        <f t="shared" ca="1" si="25"/>
        <v>7.8961665324583596E-2</v>
      </c>
      <c r="AA91">
        <f t="shared" ca="1" si="25"/>
        <v>7.8867202519593782E-2</v>
      </c>
      <c r="AB91">
        <f t="shared" ca="1" si="25"/>
        <v>7.8782212120163342E-2</v>
      </c>
      <c r="AC91">
        <f t="shared" ca="1" si="25"/>
        <v>7.870574501358274E-2</v>
      </c>
      <c r="AD91">
        <f t="shared" ca="1" si="25"/>
        <v>7.8636947043450811E-2</v>
      </c>
      <c r="AE91">
        <f t="shared" ca="1" si="25"/>
        <v>7.8575049536732E-2</v>
      </c>
      <c r="AF91">
        <f t="shared" ca="1" si="25"/>
        <v>7.8519360770650137E-2</v>
      </c>
      <c r="AG91">
        <f t="shared" ca="1" si="25"/>
        <v>-2.421608413117271E-2</v>
      </c>
      <c r="AH91">
        <f t="shared" si="19"/>
        <v>7.8020032388225191E-2</v>
      </c>
      <c r="AI91">
        <f t="shared" si="19"/>
        <v>7.8020032388225413E-2</v>
      </c>
      <c r="AJ91">
        <f t="shared" si="19"/>
        <v>7.8020032388225302E-2</v>
      </c>
      <c r="AK91">
        <f t="shared" si="19"/>
        <v>7.8020032388225191E-2</v>
      </c>
    </row>
    <row r="94" spans="1:37" x14ac:dyDescent="0.45">
      <c r="A94" t="s">
        <v>389</v>
      </c>
    </row>
    <row r="95" spans="1:37" x14ac:dyDescent="0.45">
      <c r="A95" t="s">
        <v>42</v>
      </c>
      <c r="B95">
        <v>0.69241452509396317</v>
      </c>
      <c r="C95">
        <v>0.61453818962611495</v>
      </c>
      <c r="D95">
        <v>0.54526611511648315</v>
      </c>
      <c r="E95">
        <v>0.48366366890886409</v>
      </c>
      <c r="F95">
        <v>0.42889684955148671</v>
      </c>
      <c r="G95">
        <v>0.38022137819750845</v>
      </c>
      <c r="H95">
        <v>0.33697298768320116</v>
      </c>
      <c r="I95">
        <v>0.29855878142408276</v>
      </c>
      <c r="J95">
        <v>0.26444954649330438</v>
      </c>
      <c r="K95">
        <v>0.23417291618607905</v>
      </c>
      <c r="L95">
        <v>0.20730728735096843</v>
      </c>
      <c r="M95">
        <v>0.1834764070299677</v>
      </c>
      <c r="N95">
        <v>0.16234455165131614</v>
      </c>
      <c r="O95">
        <v>0.14361223023091274</v>
      </c>
      <c r="P95">
        <v>0.12701235075961192</v>
      </c>
      <c r="Q95">
        <v>0.11230679614061098</v>
      </c>
      <c r="R95">
        <v>9.9283362634818156E-2</v>
      </c>
      <c r="S95">
        <v>8.7753019722042955E-2</v>
      </c>
      <c r="T95">
        <v>7.7547455565327619E-2</v>
      </c>
      <c r="U95">
        <v>6.8516876877657035E-2</v>
      </c>
      <c r="V95">
        <v>6.0528035965975772E-2</v>
      </c>
      <c r="W95">
        <v>5.3462461120353549E-2</v>
      </c>
      <c r="X95">
        <v>4.721486939349033E-2</v>
      </c>
      <c r="Y95">
        <v>4.1691743250510283E-2</v>
      </c>
      <c r="Z95">
        <v>3.6810054632906188E-2</v>
      </c>
      <c r="AA95">
        <v>3.2496121739559847E-2</v>
      </c>
      <c r="AB95">
        <v>2.8684585339488273E-2</v>
      </c>
      <c r="AC95">
        <v>2.5317492743355451E-2</v>
      </c>
      <c r="AD95">
        <v>2.2343478712524761E-2</v>
      </c>
      <c r="AE95">
        <v>1.971703360585262E-2</v>
      </c>
      <c r="AF95">
        <v>1.7397849978765687E-2</v>
      </c>
    </row>
    <row r="96" spans="1:37" x14ac:dyDescent="0.45">
      <c r="A96" t="s">
        <v>43</v>
      </c>
      <c r="B96">
        <v>0.69241452509396317</v>
      </c>
      <c r="C96">
        <v>0.61453818962611495</v>
      </c>
      <c r="D96">
        <v>0.54526611511648315</v>
      </c>
      <c r="E96">
        <v>0.48366366890886409</v>
      </c>
      <c r="F96">
        <v>0.42889684955148671</v>
      </c>
      <c r="G96">
        <v>0.38022137819750845</v>
      </c>
      <c r="H96">
        <v>0.33697298768320116</v>
      </c>
      <c r="I96">
        <v>0.29855878142408276</v>
      </c>
      <c r="J96">
        <v>0.26444954649330438</v>
      </c>
      <c r="K96">
        <v>0.23417291618607905</v>
      </c>
      <c r="L96">
        <v>0.20730728735096843</v>
      </c>
      <c r="M96">
        <v>0.1834764070299677</v>
      </c>
      <c r="N96">
        <v>0.16234455165131614</v>
      </c>
      <c r="O96">
        <v>0.14361223023091274</v>
      </c>
      <c r="P96">
        <v>0.12701235075961192</v>
      </c>
      <c r="Q96">
        <v>0.11230679614061098</v>
      </c>
      <c r="R96">
        <v>9.9283362634818156E-2</v>
      </c>
      <c r="S96">
        <v>8.7753019722042955E-2</v>
      </c>
      <c r="T96">
        <v>7.7547455565327619E-2</v>
      </c>
      <c r="U96">
        <v>6.8516876877657035E-2</v>
      </c>
      <c r="V96">
        <v>6.0528035965975772E-2</v>
      </c>
      <c r="W96">
        <v>5.3462461120353549E-2</v>
      </c>
      <c r="X96">
        <v>4.721486939349033E-2</v>
      </c>
      <c r="Y96">
        <v>4.1691743250510283E-2</v>
      </c>
      <c r="Z96">
        <v>3.6810054632906188E-2</v>
      </c>
      <c r="AA96">
        <v>3.2496121739559847E-2</v>
      </c>
      <c r="AB96">
        <v>2.8684585339488273E-2</v>
      </c>
      <c r="AC96">
        <v>2.5317492743355451E-2</v>
      </c>
      <c r="AD96">
        <v>2.2343478712524761E-2</v>
      </c>
      <c r="AE96">
        <v>1.971703360585262E-2</v>
      </c>
      <c r="AF96">
        <v>1.7397849978765687E-2</v>
      </c>
    </row>
    <row r="97" spans="1:32" x14ac:dyDescent="0.45">
      <c r="A97" t="s">
        <v>427</v>
      </c>
      <c r="B97">
        <v>0.64705027110934166</v>
      </c>
      <c r="C97">
        <v>0.57005582960100953</v>
      </c>
      <c r="D97">
        <v>0.50188191838254892</v>
      </c>
      <c r="E97">
        <v>0.44155427024344746</v>
      </c>
      <c r="F97">
        <v>0.38820533696900533</v>
      </c>
      <c r="G97">
        <v>0.34106201326945079</v>
      </c>
      <c r="H97">
        <v>0.29943481764401786</v>
      </c>
      <c r="I97">
        <v>0.26270840239680493</v>
      </c>
      <c r="J97">
        <v>0.23033326367458118</v>
      </c>
      <c r="K97">
        <v>0.20181851864073119</v>
      </c>
      <c r="L97">
        <v>0.17672561470849002</v>
      </c>
      <c r="M97">
        <v>0.15466283806893427</v>
      </c>
      <c r="N97">
        <v>0.13528049677098605</v>
      </c>
      <c r="O97">
        <v>0.11826666679142507</v>
      </c>
      <c r="P97">
        <v>0.10334340609738606</v>
      </c>
      <c r="Q97">
        <v>9.0263359419073833E-2</v>
      </c>
      <c r="R97">
        <v>7.8806693301776379E-2</v>
      </c>
      <c r="S97">
        <v>6.8778315597329359E-2</v>
      </c>
      <c r="T97">
        <v>6.0005345209745105E-2</v>
      </c>
      <c r="U97">
        <v>5.2334806562476327E-2</v>
      </c>
      <c r="V97">
        <v>4.5631529246328684E-2</v>
      </c>
      <c r="W97">
        <v>3.9776237176411475E-2</v>
      </c>
      <c r="X97">
        <v>3.4663813911046774E-2</v>
      </c>
      <c r="Y97">
        <v>3.0201732082502229E-2</v>
      </c>
      <c r="Z97">
        <v>2.6308635570652598E-2</v>
      </c>
      <c r="AA97">
        <v>2.2913063414655099E-2</v>
      </c>
      <c r="AB97">
        <v>1.9952304701992007E-2</v>
      </c>
      <c r="AC97">
        <v>1.7371373916612635E-2</v>
      </c>
      <c r="AD97">
        <v>1.512209652871308E-2</v>
      </c>
      <c r="AE97">
        <v>1.3162294989994825E-2</v>
      </c>
      <c r="AF97">
        <v>1.1455065758922788E-2</v>
      </c>
    </row>
    <row r="98" spans="1:32" x14ac:dyDescent="0.45">
      <c r="A98" t="s">
        <v>44</v>
      </c>
      <c r="B98">
        <v>0.83537512288704563</v>
      </c>
      <c r="C98">
        <v>0.69959567479235063</v>
      </c>
      <c r="D98">
        <v>0.5846044731109481</v>
      </c>
      <c r="E98">
        <v>0.48740281021609283</v>
      </c>
      <c r="F98">
        <v>0.40544051026998335</v>
      </c>
      <c r="G98">
        <v>0.33652880158755244</v>
      </c>
      <c r="H98">
        <v>0.27877147101239375</v>
      </c>
      <c r="I98">
        <v>0.23051546173550988</v>
      </c>
      <c r="J98">
        <v>0.19031766397010635</v>
      </c>
      <c r="K98">
        <v>0.15692217112890847</v>
      </c>
      <c r="L98">
        <v>0.12924262884859597</v>
      </c>
      <c r="M98">
        <v>0.10634624149886004</v>
      </c>
      <c r="N98">
        <v>8.7437977761245275E-2</v>
      </c>
      <c r="O98">
        <v>7.1844789619555469E-2</v>
      </c>
      <c r="P98">
        <v>5.900021115416737E-2</v>
      </c>
      <c r="Q98">
        <v>4.8429799440783107E-2</v>
      </c>
      <c r="R98">
        <v>3.9737772041488172E-2</v>
      </c>
      <c r="S98">
        <v>3.2595037838658747E-2</v>
      </c>
      <c r="T98">
        <v>2.6728679717941958E-2</v>
      </c>
      <c r="U98">
        <v>2.1912849275315793E-2</v>
      </c>
      <c r="V98">
        <v>1.7960973666840942E-2</v>
      </c>
      <c r="W98">
        <v>1.4719144129790588E-2</v>
      </c>
      <c r="X98">
        <v>1.2060545244069151E-2</v>
      </c>
      <c r="Y98">
        <v>9.88078609842492E-3</v>
      </c>
      <c r="Z98">
        <v>8.0940037327735439E-3</v>
      </c>
      <c r="AA98">
        <v>6.6296219151190869E-3</v>
      </c>
      <c r="AB98">
        <v>5.4296621955641821E-3</v>
      </c>
      <c r="AC98">
        <v>4.4465179073241755E-3</v>
      </c>
      <c r="AD98">
        <v>3.6411146135216367E-3</v>
      </c>
      <c r="AE98">
        <v>2.9813920734033665E-3</v>
      </c>
      <c r="AF98">
        <v>2.4410530020911201E-3</v>
      </c>
    </row>
    <row r="99" spans="1:32" x14ac:dyDescent="0.45">
      <c r="A99" t="s">
        <v>45</v>
      </c>
      <c r="B99">
        <v>0.48219389225991444</v>
      </c>
      <c r="C99">
        <v>0.40654228729147868</v>
      </c>
      <c r="D99">
        <v>0.33362750175756462</v>
      </c>
      <c r="E99">
        <v>0.26522653025652232</v>
      </c>
      <c r="F99">
        <v>0.20486983321063496</v>
      </c>
      <c r="G99">
        <v>0.15498308114287077</v>
      </c>
      <c r="H99">
        <v>0.11568050080384067</v>
      </c>
      <c r="I99">
        <v>8.56225833713464E-2</v>
      </c>
      <c r="J99">
        <v>6.3036740502048438E-2</v>
      </c>
      <c r="K99">
        <v>4.6245423733211874E-2</v>
      </c>
      <c r="L99">
        <v>3.3845241847061953E-2</v>
      </c>
      <c r="M99">
        <v>2.4727849191153176E-2</v>
      </c>
      <c r="N99">
        <v>1.8044099552316617E-2</v>
      </c>
      <c r="O99">
        <v>1.3154662757412663E-2</v>
      </c>
      <c r="P99">
        <v>9.5832822043295917E-3</v>
      </c>
      <c r="Q99">
        <v>6.977606309212442E-3</v>
      </c>
      <c r="R99">
        <v>5.0781529481947968E-3</v>
      </c>
      <c r="S99">
        <v>3.6944453801752352E-3</v>
      </c>
      <c r="T99">
        <v>2.6869840603844768E-3</v>
      </c>
      <c r="U99">
        <v>1.9537776730923669E-3</v>
      </c>
      <c r="V99">
        <v>1.4203539169195293E-3</v>
      </c>
      <c r="W99">
        <v>1.0323882441028033E-3</v>
      </c>
      <c r="X99">
        <v>7.5028382850083871E-4</v>
      </c>
      <c r="Y99">
        <v>5.4519660944024823E-4</v>
      </c>
      <c r="Z99">
        <v>3.9612577848757664E-4</v>
      </c>
      <c r="AA99">
        <v>2.8778727139154548E-4</v>
      </c>
      <c r="AB99">
        <v>2.0906132111395346E-4</v>
      </c>
      <c r="AC99">
        <v>1.5186012197359748E-4</v>
      </c>
      <c r="AD99">
        <v>1.1030251163940545E-4</v>
      </c>
      <c r="AE99">
        <v>8.0112777021452505E-5</v>
      </c>
      <c r="AF99">
        <v>5.81829292005059E-5</v>
      </c>
    </row>
    <row r="100" spans="1:32" x14ac:dyDescent="0.45">
      <c r="A100" t="s">
        <v>46</v>
      </c>
      <c r="B100">
        <v>0.75217906467581042</v>
      </c>
      <c r="C100">
        <v>0.61064654705803967</v>
      </c>
      <c r="D100">
        <v>0.49489228156269266</v>
      </c>
      <c r="E100">
        <v>0.40035647574412542</v>
      </c>
      <c r="F100">
        <v>0.32328227452503422</v>
      </c>
      <c r="G100">
        <v>0.26056832608693564</v>
      </c>
      <c r="H100">
        <v>0.20964932631448863</v>
      </c>
      <c r="I100">
        <v>0.16840030983004928</v>
      </c>
      <c r="J100">
        <v>0.13506039697025848</v>
      </c>
      <c r="K100">
        <v>0.10817177699249049</v>
      </c>
      <c r="L100">
        <v>8.6530177653142346E-2</v>
      </c>
      <c r="M100">
        <v>6.9143872695329109E-2</v>
      </c>
      <c r="N100">
        <v>5.5199156921580325E-2</v>
      </c>
      <c r="O100">
        <v>4.4030948850890025E-2</v>
      </c>
      <c r="P100">
        <v>3.5097673036744166E-2</v>
      </c>
      <c r="Q100">
        <v>2.7959850810263483E-2</v>
      </c>
      <c r="R100">
        <v>2.2261959939955507E-2</v>
      </c>
      <c r="S100">
        <v>1.7717178732435095E-2</v>
      </c>
      <c r="T100">
        <v>1.4094654839861737E-2</v>
      </c>
      <c r="U100">
        <v>1.1208957979762601E-2</v>
      </c>
      <c r="V100">
        <v>8.9113984730216783E-3</v>
      </c>
      <c r="W100">
        <v>7.0829215566111841E-3</v>
      </c>
      <c r="X100">
        <v>5.6283191450660691E-3</v>
      </c>
      <c r="Y100">
        <v>4.4715336691075747E-3</v>
      </c>
      <c r="Z100">
        <v>3.5518607281010335E-3</v>
      </c>
      <c r="AA100">
        <v>2.8208871352625045E-3</v>
      </c>
      <c r="AB100">
        <v>2.2400277231970698E-3</v>
      </c>
      <c r="AC100">
        <v>1.7785477095624426E-3</v>
      </c>
      <c r="AD100">
        <v>1.4119775211519697E-3</v>
      </c>
      <c r="AE100">
        <v>1.1208439568732324E-3</v>
      </c>
      <c r="AF100">
        <v>8.8965575309178212E-4</v>
      </c>
    </row>
    <row r="101" spans="1:32" x14ac:dyDescent="0.45">
      <c r="A101" t="s">
        <v>188</v>
      </c>
      <c r="B101">
        <v>0.70078413118434413</v>
      </c>
      <c r="C101">
        <v>0.59954389837962629</v>
      </c>
      <c r="D101">
        <v>0.51278933574665986</v>
      </c>
      <c r="E101">
        <v>0.43846650160693162</v>
      </c>
      <c r="F101">
        <v>0.37481091961492669</v>
      </c>
      <c r="G101">
        <v>0.32030682007027467</v>
      </c>
      <c r="H101">
        <v>0.27365213734318988</v>
      </c>
      <c r="I101">
        <v>0.2337284520176755</v>
      </c>
      <c r="J101">
        <v>0.19957517879230696</v>
      </c>
      <c r="K101">
        <v>0.17036739822379737</v>
      </c>
      <c r="L101">
        <v>0.14539681436777419</v>
      </c>
      <c r="M101">
        <v>0.12405539315211166</v>
      </c>
      <c r="N101">
        <v>0.10582129942983089</v>
      </c>
      <c r="O101">
        <v>9.0246805324534524E-2</v>
      </c>
      <c r="P101">
        <v>7.6947889709336512E-2</v>
      </c>
      <c r="Q101">
        <v>6.5595289312009489E-2</v>
      </c>
      <c r="R101">
        <v>5.5906796784399124E-2</v>
      </c>
      <c r="S101">
        <v>4.7640630822196994E-2</v>
      </c>
      <c r="T101">
        <v>4.0589728734021252E-2</v>
      </c>
      <c r="U101">
        <v>3.4576833351437027E-2</v>
      </c>
      <c r="V101">
        <v>2.9450264406234977E-2</v>
      </c>
      <c r="W101">
        <v>2.5080279980608002E-2</v>
      </c>
      <c r="X101">
        <v>2.1355946798986832E-2</v>
      </c>
      <c r="Y101">
        <v>1.8182449352789138E-2</v>
      </c>
      <c r="Z101">
        <v>1.5478777446733193E-2</v>
      </c>
      <c r="AA101">
        <v>1.3175739989227614E-2</v>
      </c>
      <c r="AB101">
        <v>1.1214259934662631E-2</v>
      </c>
      <c r="AC101">
        <v>9.5439113983189199E-3</v>
      </c>
      <c r="AD101">
        <v>8.1216652495166557E-3</v>
      </c>
      <c r="AE101">
        <v>6.9108140645806572E-3</v>
      </c>
      <c r="AF101">
        <v>5.8800512870699926E-3</v>
      </c>
    </row>
    <row r="102" spans="1:32" x14ac:dyDescent="0.45">
      <c r="A102" t="s">
        <v>189</v>
      </c>
      <c r="B102">
        <v>0.70078413118434413</v>
      </c>
      <c r="C102">
        <v>0.59954389837962629</v>
      </c>
      <c r="D102">
        <v>0.51278933574665986</v>
      </c>
      <c r="E102">
        <v>0.43846650160693162</v>
      </c>
      <c r="F102">
        <v>0.37481091961492669</v>
      </c>
      <c r="G102">
        <v>0.32030682007027467</v>
      </c>
      <c r="H102">
        <v>0.27365213734318988</v>
      </c>
      <c r="I102">
        <v>0.2337284520176755</v>
      </c>
      <c r="J102">
        <v>0.19957517879230696</v>
      </c>
      <c r="K102">
        <v>0.17036739822379737</v>
      </c>
      <c r="L102">
        <v>0.14539681436777419</v>
      </c>
      <c r="M102">
        <v>0.12405539315211166</v>
      </c>
      <c r="N102">
        <v>0.10582129942983089</v>
      </c>
      <c r="O102">
        <v>9.0246805324534524E-2</v>
      </c>
      <c r="P102">
        <v>7.6947889709336512E-2</v>
      </c>
      <c r="Q102">
        <v>6.5595289312009489E-2</v>
      </c>
      <c r="R102">
        <v>5.5906796784399124E-2</v>
      </c>
      <c r="S102">
        <v>4.7640630822196994E-2</v>
      </c>
      <c r="T102">
        <v>4.0589728734021252E-2</v>
      </c>
      <c r="U102">
        <v>3.4576833351437027E-2</v>
      </c>
      <c r="V102">
        <v>2.9450264406234977E-2</v>
      </c>
      <c r="W102">
        <v>2.5080279980608002E-2</v>
      </c>
      <c r="X102">
        <v>2.1355946798986832E-2</v>
      </c>
      <c r="Y102">
        <v>1.8182449352789138E-2</v>
      </c>
      <c r="Z102">
        <v>1.5478777446733193E-2</v>
      </c>
      <c r="AA102">
        <v>1.3175739989227614E-2</v>
      </c>
      <c r="AB102">
        <v>1.1214259934662631E-2</v>
      </c>
      <c r="AC102">
        <v>9.5439113983189199E-3</v>
      </c>
      <c r="AD102">
        <v>8.1216652495166557E-3</v>
      </c>
      <c r="AE102">
        <v>6.9108140645806572E-3</v>
      </c>
      <c r="AF102">
        <v>5.8800512870699926E-3</v>
      </c>
    </row>
    <row r="103" spans="1:32" x14ac:dyDescent="0.45">
      <c r="A103" t="s">
        <v>432</v>
      </c>
      <c r="B103">
        <v>0.67414120745326556</v>
      </c>
      <c r="C103">
        <v>0.59491068774444011</v>
      </c>
      <c r="D103">
        <v>0.52455940922176147</v>
      </c>
      <c r="E103">
        <v>0.46213208354798607</v>
      </c>
      <c r="F103">
        <v>0.40677942919982918</v>
      </c>
      <c r="G103">
        <v>0.35774467728546416</v>
      </c>
      <c r="H103">
        <v>0.31435158519711903</v>
      </c>
      <c r="I103">
        <v>0.27599406666011667</v>
      </c>
      <c r="J103">
        <v>0.24212747080060457</v>
      </c>
      <c r="K103">
        <v>0.21226142172474113</v>
      </c>
      <c r="L103">
        <v>0.18595401381318952</v>
      </c>
      <c r="M103">
        <v>0.1628070868889854</v>
      </c>
      <c r="N103">
        <v>0.1424622937648907</v>
      </c>
      <c r="O103">
        <v>0.12459770955657873</v>
      </c>
      <c r="P103">
        <v>0.10892479446963699</v>
      </c>
      <c r="Q103">
        <v>9.5185587414494774E-2</v>
      </c>
      <c r="R103">
        <v>8.3150062673248107E-2</v>
      </c>
      <c r="S103">
        <v>7.2613620545950205E-2</v>
      </c>
      <c r="T103">
        <v>6.3394706097559483E-2</v>
      </c>
      <c r="U103">
        <v>5.5332561323509596E-2</v>
      </c>
      <c r="V103">
        <v>4.8285119320061652E-2</v>
      </c>
      <c r="W103">
        <v>4.2127047827148753E-2</v>
      </c>
      <c r="X103">
        <v>3.6747946256053363E-2</v>
      </c>
      <c r="Y103">
        <v>3.2050696547257278E-2</v>
      </c>
      <c r="Z103">
        <v>2.7949964751682425E-2</v>
      </c>
      <c r="AA103">
        <v>2.4370847455470378E-2</v>
      </c>
      <c r="AB103">
        <v>2.1247655164661379E-2</v>
      </c>
      <c r="AC103">
        <v>1.8522823478465553E-2</v>
      </c>
      <c r="AD103">
        <v>1.6145942193050773E-2</v>
      </c>
      <c r="AE103">
        <v>1.4072892261043725E-2</v>
      </c>
      <c r="AF103">
        <v>1.2265080662351775E-2</v>
      </c>
    </row>
    <row r="104" spans="1:32" x14ac:dyDescent="0.45">
      <c r="A104" t="s">
        <v>190</v>
      </c>
      <c r="B104">
        <v>0.7649428467229189</v>
      </c>
      <c r="C104">
        <v>0.65705480408234695</v>
      </c>
      <c r="D104">
        <v>0.56398428423053704</v>
      </c>
      <c r="E104">
        <v>0.48374262743479907</v>
      </c>
      <c r="F104">
        <v>0.41460897741168096</v>
      </c>
      <c r="G104">
        <v>0.35509243961690323</v>
      </c>
      <c r="H104">
        <v>0.30389961747014288</v>
      </c>
      <c r="I104">
        <v>0.25990702441957975</v>
      </c>
      <c r="J104">
        <v>0.22213782498663218</v>
      </c>
      <c r="K104">
        <v>0.1897422962362991</v>
      </c>
      <c r="L104">
        <v>0.16198137451636141</v>
      </c>
      <c r="M104">
        <v>0.13821268545154852</v>
      </c>
      <c r="N104">
        <v>0.1178785404162014</v>
      </c>
      <c r="O104">
        <v>0.10049549353887634</v>
      </c>
      <c r="P104">
        <v>8.5645162187894475E-2</v>
      </c>
      <c r="Q104">
        <v>7.2966103225731091E-2</v>
      </c>
      <c r="R104">
        <v>6.2146601213474449E-2</v>
      </c>
      <c r="S104">
        <v>5.291826549123628E-2</v>
      </c>
      <c r="T104">
        <v>4.5050356553989347E-2</v>
      </c>
      <c r="U104">
        <v>3.8344774592224344E-2</v>
      </c>
      <c r="V104">
        <v>3.2631649409043506E-2</v>
      </c>
      <c r="W104">
        <v>2.7765474461987225E-2</v>
      </c>
      <c r="X104">
        <v>2.3621730418129636E-2</v>
      </c>
      <c r="Y104">
        <v>2.0093946287509084E-2</v>
      </c>
      <c r="Z104">
        <v>1.7091149251244695E-2</v>
      </c>
      <c r="AA104">
        <v>1.4535657749623728E-2</v>
      </c>
      <c r="AB104">
        <v>1.2361176126192685E-2</v>
      </c>
      <c r="AC104">
        <v>1.0511152981608148E-2</v>
      </c>
      <c r="AD104">
        <v>8.9373692312506945E-3</v>
      </c>
      <c r="AE104">
        <v>7.5987255689972857E-3</v>
      </c>
      <c r="AF104">
        <v>6.4602025357874959E-3</v>
      </c>
    </row>
    <row r="105" spans="1:32" x14ac:dyDescent="0.45">
      <c r="A105" t="s">
        <v>191</v>
      </c>
      <c r="B105">
        <v>0.48219389225991444</v>
      </c>
      <c r="C105">
        <v>0.40654228729147868</v>
      </c>
      <c r="D105">
        <v>0.33362750175756462</v>
      </c>
      <c r="E105">
        <v>0.26522653025652232</v>
      </c>
      <c r="F105">
        <v>0.20486983321063496</v>
      </c>
      <c r="G105">
        <v>0.15498308114287077</v>
      </c>
      <c r="H105">
        <v>0.11568050080384067</v>
      </c>
      <c r="I105">
        <v>8.56225833713464E-2</v>
      </c>
      <c r="J105">
        <v>6.3036740502048438E-2</v>
      </c>
      <c r="K105">
        <v>4.6245423733211874E-2</v>
      </c>
      <c r="L105">
        <v>3.3845241847061953E-2</v>
      </c>
      <c r="M105">
        <v>2.4727849191153176E-2</v>
      </c>
      <c r="N105">
        <v>1.8044099552316617E-2</v>
      </c>
      <c r="O105">
        <v>1.3154662757412663E-2</v>
      </c>
      <c r="P105">
        <v>9.5832822043295917E-3</v>
      </c>
      <c r="Q105">
        <v>6.977606309212442E-3</v>
      </c>
      <c r="R105">
        <v>5.0781529481947968E-3</v>
      </c>
      <c r="S105">
        <v>3.6944453801752352E-3</v>
      </c>
      <c r="T105">
        <v>2.6869840603844768E-3</v>
      </c>
      <c r="U105">
        <v>1.9537776730923669E-3</v>
      </c>
      <c r="V105">
        <v>1.4203539169195293E-3</v>
      </c>
      <c r="W105">
        <v>1.0323882441028033E-3</v>
      </c>
      <c r="X105">
        <v>7.5028382850083871E-4</v>
      </c>
      <c r="Y105">
        <v>5.4519660944024823E-4</v>
      </c>
      <c r="Z105">
        <v>3.9612577848757664E-4</v>
      </c>
      <c r="AA105">
        <v>2.8778727139154548E-4</v>
      </c>
      <c r="AB105">
        <v>2.0906132111395346E-4</v>
      </c>
      <c r="AC105">
        <v>1.5186012197359748E-4</v>
      </c>
      <c r="AD105">
        <v>1.1030251163940545E-4</v>
      </c>
      <c r="AE105">
        <v>8.0112777021452505E-5</v>
      </c>
      <c r="AF105">
        <v>5.81829292005059E-5</v>
      </c>
    </row>
    <row r="106" spans="1:32" x14ac:dyDescent="0.45">
      <c r="A106" t="s">
        <v>192</v>
      </c>
      <c r="B106">
        <v>0.80757215933670878</v>
      </c>
      <c r="C106">
        <v>0.67006093217099782</v>
      </c>
      <c r="D106">
        <v>0.55497134000041815</v>
      </c>
      <c r="E106">
        <v>0.45878771887141717</v>
      </c>
      <c r="F106">
        <v>0.37854964685563058</v>
      </c>
      <c r="G106">
        <v>0.31175542370530113</v>
      </c>
      <c r="H106">
        <v>0.25628280924864655</v>
      </c>
      <c r="I106">
        <v>0.21032579137991153</v>
      </c>
      <c r="J106">
        <v>0.17234515011827897</v>
      </c>
      <c r="K106">
        <v>0.14102977659914684</v>
      </c>
      <c r="L106">
        <v>0.11526561113266481</v>
      </c>
      <c r="M106">
        <v>9.4109641555322934E-2</v>
      </c>
      <c r="N106">
        <v>7.6767264920578615E-2</v>
      </c>
      <c r="O106">
        <v>6.2572091449412018E-2</v>
      </c>
      <c r="P106">
        <v>5.0967787388122111E-2</v>
      </c>
      <c r="Q106">
        <v>4.1491815743007511E-2</v>
      </c>
      <c r="R106">
        <v>3.3761021256755404E-2</v>
      </c>
      <c r="S106">
        <v>2.74590028320548E-2</v>
      </c>
      <c r="T106">
        <v>2.2325181470211578E-2</v>
      </c>
      <c r="U106">
        <v>1.8145435914478088E-2</v>
      </c>
      <c r="V106">
        <v>1.4744153897060162E-2</v>
      </c>
      <c r="W106">
        <v>1.1977536251071905E-2</v>
      </c>
      <c r="X106">
        <v>9.7279918492036519E-3</v>
      </c>
      <c r="Y106">
        <v>7.8994698837299929E-3</v>
      </c>
      <c r="Z106">
        <v>6.4135891899201741E-3</v>
      </c>
      <c r="AA106">
        <v>5.2064396618602873E-3</v>
      </c>
      <c r="AB106">
        <v>4.225946613082187E-3</v>
      </c>
      <c r="AC106">
        <v>3.4297041276501157E-3</v>
      </c>
      <c r="AD106">
        <v>2.7831974321113925E-3</v>
      </c>
      <c r="AE106">
        <v>2.2583468160157255E-3</v>
      </c>
      <c r="AF106">
        <v>1.8323165642301371E-3</v>
      </c>
    </row>
    <row r="108" spans="1:32" x14ac:dyDescent="0.45">
      <c r="A108" t="s">
        <v>390</v>
      </c>
    </row>
    <row r="109" spans="1:32" x14ac:dyDescent="0.45">
      <c r="A109" t="s">
        <v>42</v>
      </c>
      <c r="B109">
        <v>0.93073365223285986</v>
      </c>
      <c r="C109">
        <v>0.82453931758105692</v>
      </c>
      <c r="D109">
        <v>0.73066851889493711</v>
      </c>
      <c r="E109">
        <v>0.64767047499854691</v>
      </c>
      <c r="F109">
        <v>0.57426635018278793</v>
      </c>
      <c r="G109">
        <v>0.50932893965324566</v>
      </c>
      <c r="H109">
        <v>0.45186474240331753</v>
      </c>
      <c r="I109">
        <v>0.4009981367688365</v>
      </c>
      <c r="J109">
        <v>0.35595740928865993</v>
      </c>
      <c r="K109">
        <v>0.3160624186469656</v>
      </c>
      <c r="L109">
        <v>0.28071370372282989</v>
      </c>
      <c r="M109">
        <v>0.24938286843718374</v>
      </c>
      <c r="N109">
        <v>0.22160409650818119</v>
      </c>
      <c r="O109">
        <v>0.19696666677408275</v>
      </c>
      <c r="P109">
        <v>0.1751083548077107</v>
      </c>
      <c r="Q109">
        <v>0.15570961951633933</v>
      </c>
      <c r="R109">
        <v>0.13848848465832314</v>
      </c>
      <c r="S109">
        <v>0.12319603503232322</v>
      </c>
      <c r="T109">
        <v>0.10961245577108227</v>
      </c>
      <c r="U109">
        <v>9.7543550906579859E-2</v>
      </c>
      <c r="V109">
        <v>8.6817684321649144E-2</v>
      </c>
      <c r="W109">
        <v>7.7283092475619569E-2</v>
      </c>
      <c r="X109">
        <v>6.8805523966326596E-2</v>
      </c>
      <c r="Y109">
        <v>6.1266166123510178E-2</v>
      </c>
      <c r="Z109">
        <v>5.4559823461037993E-2</v>
      </c>
      <c r="AA109">
        <v>4.8593316982059077E-2</v>
      </c>
      <c r="AB109">
        <v>4.3284077063479143E-2</v>
      </c>
      <c r="AC109">
        <v>3.8558905974672146E-2</v>
      </c>
      <c r="AD109">
        <v>3.4352889040907872E-2</v>
      </c>
      <c r="AE109">
        <v>3.0608436075759689E-2</v>
      </c>
      <c r="AF109">
        <v>2.7274437009906758E-2</v>
      </c>
    </row>
    <row r="110" spans="1:32" x14ac:dyDescent="0.45">
      <c r="A110" t="s">
        <v>43</v>
      </c>
      <c r="B110">
        <v>0.93073365223285986</v>
      </c>
      <c r="C110">
        <v>0.82453931758105692</v>
      </c>
      <c r="D110">
        <v>0.73066851889493711</v>
      </c>
      <c r="E110">
        <v>0.64767047499854691</v>
      </c>
      <c r="F110">
        <v>0.57426635018278793</v>
      </c>
      <c r="G110">
        <v>0.50932893965324566</v>
      </c>
      <c r="H110">
        <v>0.45186474240331753</v>
      </c>
      <c r="I110">
        <v>0.4009981367688365</v>
      </c>
      <c r="J110">
        <v>0.35595740928865993</v>
      </c>
      <c r="K110">
        <v>0.3160624186469656</v>
      </c>
      <c r="L110">
        <v>0.28071370372282989</v>
      </c>
      <c r="M110">
        <v>0.24938286843718374</v>
      </c>
      <c r="N110">
        <v>0.22160409650818119</v>
      </c>
      <c r="O110">
        <v>0.19696666677408275</v>
      </c>
      <c r="P110">
        <v>0.1751083548077107</v>
      </c>
      <c r="Q110">
        <v>0.15570961951633933</v>
      </c>
      <c r="R110">
        <v>0.13848848465832314</v>
      </c>
      <c r="S110">
        <v>0.12319603503232322</v>
      </c>
      <c r="T110">
        <v>0.10961245577108227</v>
      </c>
      <c r="U110">
        <v>9.7543550906579859E-2</v>
      </c>
      <c r="V110">
        <v>8.6817684321649144E-2</v>
      </c>
      <c r="W110">
        <v>7.7283092475619569E-2</v>
      </c>
      <c r="X110">
        <v>6.8805523966326596E-2</v>
      </c>
      <c r="Y110">
        <v>6.1266166123510178E-2</v>
      </c>
      <c r="Z110">
        <v>5.4559823461037993E-2</v>
      </c>
      <c r="AA110">
        <v>4.8593316982059077E-2</v>
      </c>
      <c r="AB110">
        <v>4.3284077063479143E-2</v>
      </c>
      <c r="AC110">
        <v>3.8558905974672146E-2</v>
      </c>
      <c r="AD110">
        <v>3.4352889040907872E-2</v>
      </c>
      <c r="AE110">
        <v>3.0608436075759689E-2</v>
      </c>
      <c r="AF110">
        <v>2.7274437009906758E-2</v>
      </c>
    </row>
    <row r="111" spans="1:32" x14ac:dyDescent="0.45">
      <c r="A111" t="s">
        <v>427</v>
      </c>
      <c r="B111">
        <v>0.98710351761645676</v>
      </c>
      <c r="C111">
        <v>0.86586963373964998</v>
      </c>
      <c r="D111">
        <v>0.76004188842210219</v>
      </c>
      <c r="E111">
        <v>0.66761204852414324</v>
      </c>
      <c r="F111">
        <v>0.58683489533712296</v>
      </c>
      <c r="G111">
        <v>0.51619436386623063</v>
      </c>
      <c r="H111">
        <v>0.45437401760274965</v>
      </c>
      <c r="I111">
        <v>0.40023125523545272</v>
      </c>
      <c r="J111">
        <v>0.35277473990699659</v>
      </c>
      <c r="K111">
        <v>0.31114462635427703</v>
      </c>
      <c r="L111">
        <v>0.27459523412230374</v>
      </c>
      <c r="M111">
        <v>0.24247987439089788</v>
      </c>
      <c r="N111">
        <v>0.21423758374685287</v>
      </c>
      <c r="O111">
        <v>0.18938155202457965</v>
      </c>
      <c r="P111">
        <v>0.16748905577506992</v>
      </c>
      <c r="Q111">
        <v>0.14819272700137889</v>
      </c>
      <c r="R111">
        <v>0.13117300119784947</v>
      </c>
      <c r="S111">
        <v>0.11615160142567453</v>
      </c>
      <c r="T111">
        <v>0.10288592733048844</v>
      </c>
      <c r="U111">
        <v>9.1164230164316781E-2</v>
      </c>
      <c r="V111">
        <v>8.0801467057953089E-2</v>
      </c>
      <c r="W111">
        <v>7.1635739796683529E-2</v>
      </c>
      <c r="X111">
        <v>6.3525234897186478E-2</v>
      </c>
      <c r="Y111">
        <v>5.6345592604061655E-2</v>
      </c>
      <c r="Z111">
        <v>4.9987642331327749E-2</v>
      </c>
      <c r="AA111">
        <v>4.4355450962952202E-2</v>
      </c>
      <c r="AB111">
        <v>3.936463826879915E-2</v>
      </c>
      <c r="AC111">
        <v>3.4940920518252698E-2</v>
      </c>
      <c r="AD111">
        <v>3.1018849251748977E-2</v>
      </c>
      <c r="AE111">
        <v>2.7540717191067383E-2</v>
      </c>
      <c r="AF111">
        <v>2.4455607531763159E-2</v>
      </c>
    </row>
    <row r="112" spans="1:32" x14ac:dyDescent="0.45">
      <c r="A112" t="s">
        <v>44</v>
      </c>
      <c r="B112">
        <v>1.1629353629541179</v>
      </c>
      <c r="C112">
        <v>0.96550016309641429</v>
      </c>
      <c r="D112">
        <v>0.80334054323482829</v>
      </c>
      <c r="E112">
        <v>0.66994036136894397</v>
      </c>
      <c r="F112">
        <v>0.55996306837090581</v>
      </c>
      <c r="G112">
        <v>0.46905809762461703</v>
      </c>
      <c r="H112">
        <v>0.3936977224610978</v>
      </c>
      <c r="I112">
        <v>0.33103470042314204</v>
      </c>
      <c r="J112">
        <v>0.27877693281277999</v>
      </c>
      <c r="K112">
        <v>0.23507907762716132</v>
      </c>
      <c r="L112">
        <v>0.19845171459177821</v>
      </c>
      <c r="M112">
        <v>0.1676875600001832</v>
      </c>
      <c r="N112">
        <v>0.14180294111476432</v>
      </c>
      <c r="O112">
        <v>0.11999203488910425</v>
      </c>
      <c r="P112">
        <v>0.10159129168988053</v>
      </c>
      <c r="Q112">
        <v>8.6051754591025417E-2</v>
      </c>
      <c r="R112">
        <v>7.2917410764657201E-2</v>
      </c>
      <c r="S112">
        <v>6.1808131636210219E-2</v>
      </c>
      <c r="T112">
        <v>5.2406113204549201E-2</v>
      </c>
      <c r="U112">
        <v>4.444500491102709E-2</v>
      </c>
      <c r="V112">
        <v>3.7701122963489028E-2</v>
      </c>
      <c r="W112">
        <v>3.1986296366427268E-2</v>
      </c>
      <c r="X112">
        <v>2.7142004922475642E-2</v>
      </c>
      <c r="Y112">
        <v>2.3034549442344603E-2</v>
      </c>
      <c r="Z112">
        <v>1.9551053834225993E-2</v>
      </c>
      <c r="AA112">
        <v>1.6596142792137031E-2</v>
      </c>
      <c r="AB112">
        <v>1.4089171827399251E-2</v>
      </c>
      <c r="AC112">
        <v>1.1961911455293274E-2</v>
      </c>
      <c r="AD112">
        <v>1.0156606614706519E-2</v>
      </c>
      <c r="AE112">
        <v>8.6243473830621489E-3</v>
      </c>
      <c r="AF112">
        <v>7.3236988337691865E-3</v>
      </c>
    </row>
    <row r="113" spans="1:32" x14ac:dyDescent="0.45">
      <c r="A113" t="s">
        <v>45</v>
      </c>
      <c r="B113">
        <v>1.0572512059341879</v>
      </c>
      <c r="C113">
        <v>0.8117654038868013</v>
      </c>
      <c r="D113">
        <v>0.64034023606905366</v>
      </c>
      <c r="E113">
        <v>0.52142523060081125</v>
      </c>
      <c r="F113">
        <v>0.43698583787209139</v>
      </c>
      <c r="G113">
        <v>0.37393615320462092</v>
      </c>
      <c r="H113">
        <v>0.32430822034841006</v>
      </c>
      <c r="I113">
        <v>0.28363914040826976</v>
      </c>
      <c r="J113">
        <v>0.24940037920638028</v>
      </c>
      <c r="K113">
        <v>0.22006879499663359</v>
      </c>
      <c r="L113">
        <v>0.19465518536880885</v>
      </c>
      <c r="M113">
        <v>0.17247002491512065</v>
      </c>
      <c r="N113">
        <v>0.15300341542690588</v>
      </c>
      <c r="O113">
        <v>0.13586043218897689</v>
      </c>
      <c r="P113">
        <v>0.12072432996797981</v>
      </c>
      <c r="Q113">
        <v>0.10733441396013382</v>
      </c>
      <c r="R113">
        <v>9.5472005324458667E-2</v>
      </c>
      <c r="S113">
        <v>8.495108737046568E-2</v>
      </c>
      <c r="T113">
        <v>7.561178186131165E-2</v>
      </c>
      <c r="U113">
        <v>6.731561082869382E-2</v>
      </c>
      <c r="V113">
        <v>5.9941931157639572E-2</v>
      </c>
      <c r="W113">
        <v>5.3385169228723939E-2</v>
      </c>
      <c r="X113">
        <v>4.755262095861304E-2</v>
      </c>
      <c r="Y113">
        <v>4.2362664566672259E-2</v>
      </c>
      <c r="Z113">
        <v>3.7743283574725145E-2</v>
      </c>
      <c r="AA113">
        <v>3.3630829147153686E-2</v>
      </c>
      <c r="AB113">
        <v>2.9968971326658565E-2</v>
      </c>
      <c r="AC113">
        <v>2.6707802302047921E-2</v>
      </c>
      <c r="AD113">
        <v>2.3803064093716585E-2</v>
      </c>
      <c r="AE113">
        <v>2.1215479495804213E-2</v>
      </c>
      <c r="AF113">
        <v>1.891016972260277E-2</v>
      </c>
    </row>
    <row r="114" spans="1:32" x14ac:dyDescent="0.45">
      <c r="A114" t="s">
        <v>46</v>
      </c>
      <c r="B114">
        <v>1.1298684642678576</v>
      </c>
      <c r="C114">
        <v>0.90833151002304646</v>
      </c>
      <c r="D114">
        <v>0.73149062139802268</v>
      </c>
      <c r="E114">
        <v>0.5901436551911069</v>
      </c>
      <c r="F114">
        <v>0.47698845094463771</v>
      </c>
      <c r="G114">
        <v>0.38623648033936042</v>
      </c>
      <c r="H114">
        <v>0.31330447618788188</v>
      </c>
      <c r="I114">
        <v>0.25456713900527655</v>
      </c>
      <c r="J114">
        <v>0.20715831174665067</v>
      </c>
      <c r="K114">
        <v>0.16881132465645465</v>
      </c>
      <c r="L114">
        <v>0.13773144490417519</v>
      </c>
      <c r="M114">
        <v>0.11249472426792849</v>
      </c>
      <c r="N114">
        <v>9.196838672697312E-2</v>
      </c>
      <c r="O114">
        <v>7.5248548233319404E-2</v>
      </c>
      <c r="P114">
        <v>6.1611673194625696E-2</v>
      </c>
      <c r="Q114">
        <v>5.0476779014037743E-2</v>
      </c>
      <c r="R114">
        <v>4.1375975315056338E-2</v>
      </c>
      <c r="S114">
        <v>3.3931435372905973E-2</v>
      </c>
      <c r="T114">
        <v>2.783732565168796E-2</v>
      </c>
      <c r="U114">
        <v>2.2845563305343475E-2</v>
      </c>
      <c r="V114">
        <v>1.8754539524215248E-2</v>
      </c>
      <c r="W114">
        <v>1.5400151528462953E-2</v>
      </c>
      <c r="X114">
        <v>1.264864103620888E-2</v>
      </c>
      <c r="Y114">
        <v>1.0390853814254782E-2</v>
      </c>
      <c r="Z114">
        <v>8.5376229064145909E-3</v>
      </c>
      <c r="AA114">
        <v>7.0160446450257142E-3</v>
      </c>
      <c r="AB114">
        <v>5.7664670903395101E-3</v>
      </c>
      <c r="AC114">
        <v>4.7400491890591187E-3</v>
      </c>
      <c r="AD114">
        <v>3.8967786974424389E-3</v>
      </c>
      <c r="AE114">
        <v>3.203859979449007E-3</v>
      </c>
      <c r="AF114">
        <v>2.6344007882862074E-3</v>
      </c>
    </row>
    <row r="115" spans="1:32" x14ac:dyDescent="0.45">
      <c r="A115" t="s">
        <v>188</v>
      </c>
      <c r="B115">
        <v>0.90298076071177613</v>
      </c>
      <c r="C115">
        <v>0.77111696526925977</v>
      </c>
      <c r="D115">
        <v>0.6586895148128733</v>
      </c>
      <c r="E115">
        <v>0.56280999981690538</v>
      </c>
      <c r="F115">
        <v>0.48102148977024806</v>
      </c>
      <c r="G115">
        <v>0.41123400335929011</v>
      </c>
      <c r="H115">
        <v>0.3516696170174492</v>
      </c>
      <c r="I115">
        <v>0.3008157697936612</v>
      </c>
      <c r="J115">
        <v>0.25738554028749788</v>
      </c>
      <c r="K115">
        <v>0.22028385613671506</v>
      </c>
      <c r="L115">
        <v>0.18857875302545166</v>
      </c>
      <c r="M115">
        <v>0.16147693258918477</v>
      </c>
      <c r="N115">
        <v>0.13830298058401977</v>
      </c>
      <c r="O115">
        <v>0.11848170145531625</v>
      </c>
      <c r="P115">
        <v>0.10152310574376994</v>
      </c>
      <c r="Q115">
        <v>8.7009654957701063E-2</v>
      </c>
      <c r="R115">
        <v>7.4585426590476456E-2</v>
      </c>
      <c r="S115">
        <v>6.394691150154011E-2</v>
      </c>
      <c r="T115">
        <v>5.4835198241957747E-2</v>
      </c>
      <c r="U115">
        <v>4.7029335178293073E-2</v>
      </c>
      <c r="V115">
        <v>4.0340692342557223E-2</v>
      </c>
      <c r="W115">
        <v>3.4608171547773313E-2</v>
      </c>
      <c r="X115">
        <v>2.9694136076877008E-2</v>
      </c>
      <c r="Y115">
        <v>2.5480950704108933E-2</v>
      </c>
      <c r="Z115">
        <v>2.1868039397351574E-2</v>
      </c>
      <c r="AA115">
        <v>1.8769382172633783E-2</v>
      </c>
      <c r="AB115">
        <v>1.6111384574100333E-2</v>
      </c>
      <c r="AC115">
        <v>1.3831063436613682E-2</v>
      </c>
      <c r="AD115">
        <v>1.1874501217848266E-2</v>
      </c>
      <c r="AE115">
        <v>1.019552849183405E-2</v>
      </c>
      <c r="AF115">
        <v>8.7546003750630253E-3</v>
      </c>
    </row>
    <row r="116" spans="1:32" x14ac:dyDescent="0.45">
      <c r="A116" t="s">
        <v>189</v>
      </c>
      <c r="B116">
        <v>0.90298076071177613</v>
      </c>
      <c r="C116">
        <v>0.77111696526925977</v>
      </c>
      <c r="D116">
        <v>0.6586895148128733</v>
      </c>
      <c r="E116">
        <v>0.56280999981690538</v>
      </c>
      <c r="F116">
        <v>0.48102148977024806</v>
      </c>
      <c r="G116">
        <v>0.41123400335929011</v>
      </c>
      <c r="H116">
        <v>0.3516696170174492</v>
      </c>
      <c r="I116">
        <v>0.3008157697936612</v>
      </c>
      <c r="J116">
        <v>0.25738554028749788</v>
      </c>
      <c r="K116">
        <v>0.22028385613671506</v>
      </c>
      <c r="L116">
        <v>0.18857875302545166</v>
      </c>
      <c r="M116">
        <v>0.16147693258918477</v>
      </c>
      <c r="N116">
        <v>0.13830298058401977</v>
      </c>
      <c r="O116">
        <v>0.11848170145531625</v>
      </c>
      <c r="P116">
        <v>0.10152310574376994</v>
      </c>
      <c r="Q116">
        <v>8.7009654957701063E-2</v>
      </c>
      <c r="R116">
        <v>7.4585426590476456E-2</v>
      </c>
      <c r="S116">
        <v>6.394691150154011E-2</v>
      </c>
      <c r="T116">
        <v>5.4835198241957747E-2</v>
      </c>
      <c r="U116">
        <v>4.7029335178293073E-2</v>
      </c>
      <c r="V116">
        <v>4.0340692342557223E-2</v>
      </c>
      <c r="W116">
        <v>3.4608171547773313E-2</v>
      </c>
      <c r="X116">
        <v>2.9694136076877008E-2</v>
      </c>
      <c r="Y116">
        <v>2.5480950704108933E-2</v>
      </c>
      <c r="Z116">
        <v>2.1868039397351574E-2</v>
      </c>
      <c r="AA116">
        <v>1.8769382172633783E-2</v>
      </c>
      <c r="AB116">
        <v>1.6111384574100333E-2</v>
      </c>
      <c r="AC116">
        <v>1.3831063436613682E-2</v>
      </c>
      <c r="AD116">
        <v>1.1874501217848266E-2</v>
      </c>
      <c r="AE116">
        <v>1.019552849183405E-2</v>
      </c>
      <c r="AF116">
        <v>8.7546003750630253E-3</v>
      </c>
    </row>
    <row r="117" spans="1:32" x14ac:dyDescent="0.45">
      <c r="A117" t="s">
        <v>432</v>
      </c>
      <c r="B117">
        <v>0.89840491193855176</v>
      </c>
      <c r="C117">
        <v>0.78876509110749993</v>
      </c>
      <c r="D117">
        <v>0.69307659265131394</v>
      </c>
      <c r="E117">
        <v>0.60951760364197105</v>
      </c>
      <c r="F117">
        <v>0.53650015461396361</v>
      </c>
      <c r="G117">
        <v>0.47264178482742442</v>
      </c>
      <c r="H117">
        <v>0.41674087588775399</v>
      </c>
      <c r="I117">
        <v>0.36775490139793798</v>
      </c>
      <c r="J117">
        <v>0.32478099669509075</v>
      </c>
      <c r="K117">
        <v>0.28703844419528884</v>
      </c>
      <c r="L117">
        <v>0.25385284768142102</v>
      </c>
      <c r="M117">
        <v>0.22464189372542065</v>
      </c>
      <c r="N117">
        <v>0.19890265715830988</v>
      </c>
      <c r="O117">
        <v>0.17620041179842341</v>
      </c>
      <c r="P117">
        <v>0.15615888135166595</v>
      </c>
      <c r="Q117">
        <v>0.13845183127165475</v>
      </c>
      <c r="R117">
        <v>0.122795875078726</v>
      </c>
      <c r="S117">
        <v>0.1089443540693166</v>
      </c>
      <c r="T117">
        <v>9.6682147276994951E-2</v>
      </c>
      <c r="U117">
        <v>8.5821275837987029E-2</v>
      </c>
      <c r="V117">
        <v>7.619717882925775E-2</v>
      </c>
      <c r="W117">
        <v>6.7665553032829701E-2</v>
      </c>
      <c r="X117">
        <v>6.0099664738547581E-2</v>
      </c>
      <c r="Y117">
        <v>5.3388056324409058E-2</v>
      </c>
      <c r="Z117">
        <v>4.7432583315142961E-2</v>
      </c>
      <c r="AA117">
        <v>4.21467287205642E-2</v>
      </c>
      <c r="AB117">
        <v>3.7454150752612367E-2</v>
      </c>
      <c r="AC117">
        <v>3.3287427696125908E-2</v>
      </c>
      <c r="AD117">
        <v>2.9586969991370348E-2</v>
      </c>
      <c r="AE117">
        <v>2.6300074705739362E-2</v>
      </c>
      <c r="AF117">
        <v>2.3380101737162273E-2</v>
      </c>
    </row>
    <row r="118" spans="1:32" x14ac:dyDescent="0.45">
      <c r="A118" t="s">
        <v>190</v>
      </c>
      <c r="B118">
        <v>0.96375158191931276</v>
      </c>
      <c r="C118">
        <v>0.82448391836050416</v>
      </c>
      <c r="D118">
        <v>0.70584033820030123</v>
      </c>
      <c r="E118">
        <v>0.60471231051689334</v>
      </c>
      <c r="F118">
        <v>0.51845869216396101</v>
      </c>
      <c r="G118">
        <v>0.4448372305497455</v>
      </c>
      <c r="H118">
        <v>0.38194611157149738</v>
      </c>
      <c r="I118">
        <v>0.32817381196707895</v>
      </c>
      <c r="J118">
        <v>0.28215588709209827</v>
      </c>
      <c r="K118">
        <v>0.2427376660218</v>
      </c>
      <c r="L118">
        <v>0.20894209088829394</v>
      </c>
      <c r="M118">
        <v>0.1799421078156859</v>
      </c>
      <c r="N118">
        <v>0.15503710545470134</v>
      </c>
      <c r="O118">
        <v>0.13363293479442032</v>
      </c>
      <c r="P118">
        <v>0.11522506187964572</v>
      </c>
      <c r="Q118">
        <v>9.9384424076906466E-2</v>
      </c>
      <c r="R118">
        <v>8.5745589201815145E-2</v>
      </c>
      <c r="S118">
        <v>7.399685515531039E-2</v>
      </c>
      <c r="T118">
        <v>6.3871971787584997E-2</v>
      </c>
      <c r="U118">
        <v>5.5143211989603286E-2</v>
      </c>
      <c r="V118">
        <v>4.7615562001979209E-2</v>
      </c>
      <c r="W118">
        <v>4.1121839552403103E-2</v>
      </c>
      <c r="X118">
        <v>3.5518581822617613E-2</v>
      </c>
      <c r="Y118">
        <v>3.068257336443635E-2</v>
      </c>
      <c r="Z118">
        <v>2.6507907355615611E-2</v>
      </c>
      <c r="AA118">
        <v>2.2903492638838292E-2</v>
      </c>
      <c r="AB118">
        <v>1.9790934492671889E-2</v>
      </c>
      <c r="AC118">
        <v>1.7102729671958857E-2</v>
      </c>
      <c r="AD118">
        <v>1.4780726476876187E-2</v>
      </c>
      <c r="AE118">
        <v>1.2774808925823907E-2</v>
      </c>
      <c r="AF118">
        <v>1.1041770893731855E-2</v>
      </c>
    </row>
    <row r="119" spans="1:32" x14ac:dyDescent="0.45">
      <c r="A119" t="s">
        <v>191</v>
      </c>
      <c r="B119">
        <v>1.0572512059341879</v>
      </c>
      <c r="C119">
        <v>0.8117654038868013</v>
      </c>
      <c r="D119">
        <v>0.64034023606905366</v>
      </c>
      <c r="E119">
        <v>0.52142523060081125</v>
      </c>
      <c r="F119">
        <v>0.43698583787209139</v>
      </c>
      <c r="G119">
        <v>0.37393615320462092</v>
      </c>
      <c r="H119">
        <v>0.32430822034841006</v>
      </c>
      <c r="I119">
        <v>0.28363914040826976</v>
      </c>
      <c r="J119">
        <v>0.24940037920638028</v>
      </c>
      <c r="K119">
        <v>0.22006879499663359</v>
      </c>
      <c r="L119">
        <v>0.19465518536880885</v>
      </c>
      <c r="M119">
        <v>0.17247002491512065</v>
      </c>
      <c r="N119">
        <v>0.15300341542690588</v>
      </c>
      <c r="O119">
        <v>0.13586043218897689</v>
      </c>
      <c r="P119">
        <v>0.12072432996797981</v>
      </c>
      <c r="Q119">
        <v>0.10733441396013382</v>
      </c>
      <c r="R119">
        <v>9.5472005324458667E-2</v>
      </c>
      <c r="S119">
        <v>8.495108737046568E-2</v>
      </c>
      <c r="T119">
        <v>7.561178186131165E-2</v>
      </c>
      <c r="U119">
        <v>6.731561082869382E-2</v>
      </c>
      <c r="V119">
        <v>5.9941931157639572E-2</v>
      </c>
      <c r="W119">
        <v>5.3385169228723939E-2</v>
      </c>
      <c r="X119">
        <v>4.755262095861304E-2</v>
      </c>
      <c r="Y119">
        <v>4.2362664566672259E-2</v>
      </c>
      <c r="Z119">
        <v>3.7743283574725145E-2</v>
      </c>
      <c r="AA119">
        <v>3.3630829147153686E-2</v>
      </c>
      <c r="AB119">
        <v>2.9968971326658565E-2</v>
      </c>
      <c r="AC119">
        <v>2.6707802302047921E-2</v>
      </c>
      <c r="AD119">
        <v>2.3803064093716585E-2</v>
      </c>
      <c r="AE119">
        <v>2.1215479495804213E-2</v>
      </c>
      <c r="AF119">
        <v>1.891016972260277E-2</v>
      </c>
    </row>
    <row r="120" spans="1:32" x14ac:dyDescent="0.45">
      <c r="A120" t="s">
        <v>192</v>
      </c>
      <c r="B120">
        <v>1.1866033248125638</v>
      </c>
      <c r="C120">
        <v>0.97513470946223668</v>
      </c>
      <c r="D120">
        <v>0.80278707148614048</v>
      </c>
      <c r="E120">
        <v>0.66214202805988664</v>
      </c>
      <c r="F120">
        <v>0.54718238280206</v>
      </c>
      <c r="G120">
        <v>0.45303624293228434</v>
      </c>
      <c r="H120">
        <v>0.37576774795179285</v>
      </c>
      <c r="I120">
        <v>0.31220399731043508</v>
      </c>
      <c r="J120">
        <v>0.25979090175142788</v>
      </c>
      <c r="K120">
        <v>0.21647323092743717</v>
      </c>
      <c r="L120">
        <v>0.18059564489313235</v>
      </c>
      <c r="M120">
        <v>0.15082207935381189</v>
      </c>
      <c r="N120">
        <v>0.12607093931650495</v>
      </c>
      <c r="O120">
        <v>0.10546355294733148</v>
      </c>
      <c r="P120">
        <v>8.8283451155013987E-2</v>
      </c>
      <c r="Q120">
        <v>7.3944292004834225E-2</v>
      </c>
      <c r="R120">
        <v>6.1964583283221519E-2</v>
      </c>
      <c r="S120">
        <v>5.1947704326607329E-2</v>
      </c>
      <c r="T120">
        <v>4.356604514731012E-2</v>
      </c>
      <c r="U120">
        <v>3.6548347216961957E-2</v>
      </c>
      <c r="V120">
        <v>3.0669543076338256E-2</v>
      </c>
      <c r="W120">
        <v>2.5742556834007172E-2</v>
      </c>
      <c r="X120">
        <v>2.1611653170451856E-2</v>
      </c>
      <c r="Y120">
        <v>1.8147017276048647E-2</v>
      </c>
      <c r="Z120">
        <v>1.5240319611745774E-2</v>
      </c>
      <c r="AA120">
        <v>1.2801073374170082E-2</v>
      </c>
      <c r="AB120">
        <v>1.0753633559886757E-2</v>
      </c>
      <c r="AC120">
        <v>9.0347178985920717E-3</v>
      </c>
      <c r="AD120">
        <v>7.5913541202175128E-3</v>
      </c>
      <c r="AE120">
        <v>6.3791768355780099E-3</v>
      </c>
      <c r="AF120">
        <v>5.3610120618570317E-3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4"/>
  <sheetViews>
    <sheetView topLeftCell="A13" workbookViewId="0">
      <selection activeCell="B28" sqref="B28"/>
    </sheetView>
  </sheetViews>
  <sheetFormatPr defaultRowHeight="14.25" x14ac:dyDescent="0.45"/>
  <sheetData>
    <row r="1" spans="1:32" x14ac:dyDescent="0.45">
      <c r="A1" t="s">
        <v>54</v>
      </c>
      <c r="B1" s="6" t="str">
        <f>Dashboard!$B$27</f>
        <v>Diesel</v>
      </c>
      <c r="E1" t="s">
        <v>0</v>
      </c>
      <c r="F1" s="6">
        <f>Dashboard!$E$7</f>
        <v>2020</v>
      </c>
      <c r="I1" s="6" t="str">
        <f>IF(Dashboard!B4&lt;11, "LDV", "HDV")</f>
        <v>HDV</v>
      </c>
      <c r="J1" t="str">
        <f>IF(I1="LDV", "prices in gge", "prices in dge")</f>
        <v>prices in dge</v>
      </c>
    </row>
    <row r="3" spans="1:32"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row>
    <row r="4" spans="1:32" x14ac:dyDescent="0.45">
      <c r="A4" t="s">
        <v>27</v>
      </c>
      <c r="B4" s="5">
        <f ca="1">OFFSET(B12, MATCH('Fuel Prices'!$B$1,'Fuel Prices'!$A$13:$A$22,0) + 12* (MATCH(Dashboard!$H$27,Lists!$H$6:$H$9,0)-1),0)</f>
        <v>2.9344049999999999</v>
      </c>
      <c r="C4" s="5">
        <f ca="1">OFFSET(C12, MATCH('Fuel Prices'!$B$1,'Fuel Prices'!$A$13:$A$22,0) + 12* (MATCH(Dashboard!$H$27,Lists!$H$6:$H$9,0)-1),0)</f>
        <v>2.9344049999999999</v>
      </c>
      <c r="D4" s="5">
        <f ca="1">OFFSET(D12, MATCH('Fuel Prices'!$B$1,'Fuel Prices'!$A$13:$A$22,0) + 12* (MATCH(Dashboard!$H$27,Lists!$H$6:$H$9,0)-1),0)</f>
        <v>2.9344049999999999</v>
      </c>
      <c r="E4" s="5">
        <f ca="1">OFFSET(E12, MATCH('Fuel Prices'!$B$1,'Fuel Prices'!$A$13:$A$22,0) + 12* (MATCH(Dashboard!$H$27,Lists!$H$6:$H$9,0)-1),0)</f>
        <v>2.9344049999999999</v>
      </c>
      <c r="F4" s="5">
        <f ca="1">OFFSET(F12, MATCH('Fuel Prices'!$B$1,'Fuel Prices'!$A$13:$A$22,0) + 12* (MATCH(Dashboard!$H$27,Lists!$H$6:$H$9,0)-1),0)</f>
        <v>2.9344049999999999</v>
      </c>
      <c r="G4" s="5">
        <f ca="1">OFFSET(G12, MATCH('Fuel Prices'!$B$1,'Fuel Prices'!$A$13:$A$22,0) + 12* (MATCH(Dashboard!$H$27,Lists!$H$6:$H$9,0)-1),0)</f>
        <v>2.9344049999999999</v>
      </c>
      <c r="H4" s="5">
        <f ca="1">OFFSET(H12, MATCH('Fuel Prices'!$B$1,'Fuel Prices'!$A$13:$A$22,0) + 12* (MATCH(Dashboard!$H$27,Lists!$H$6:$H$9,0)-1),0)</f>
        <v>2.9344049999999999</v>
      </c>
      <c r="I4" s="5">
        <f ca="1">OFFSET(I12, MATCH('Fuel Prices'!$B$1,'Fuel Prices'!$A$13:$A$22,0) + 12* (MATCH(Dashboard!$H$27,Lists!$H$6:$H$9,0)-1),0)</f>
        <v>2.9344049999999999</v>
      </c>
      <c r="J4" s="5">
        <f ca="1">OFFSET(J12, MATCH('Fuel Prices'!$B$1,'Fuel Prices'!$A$13:$A$22,0) + 12* (MATCH(Dashboard!$H$27,Lists!$H$6:$H$9,0)-1),0)</f>
        <v>2.9344049999999999</v>
      </c>
      <c r="K4" s="5">
        <f ca="1">OFFSET(K12, MATCH('Fuel Prices'!$B$1,'Fuel Prices'!$A$13:$A$22,0) + 12* (MATCH(Dashboard!$H$27,Lists!$H$6:$H$9,0)-1),0)</f>
        <v>2.9344049999999999</v>
      </c>
      <c r="L4" s="5">
        <f ca="1">OFFSET(L12, MATCH('Fuel Prices'!$B$1,'Fuel Prices'!$A$13:$A$22,0) + 12* (MATCH(Dashboard!$H$27,Lists!$H$6:$H$9,0)-1),0)</f>
        <v>2.9344049999999999</v>
      </c>
      <c r="M4" s="5">
        <f ca="1">OFFSET(M12, MATCH('Fuel Prices'!$B$1,'Fuel Prices'!$A$13:$A$22,0) + 12* (MATCH(Dashboard!$H$27,Lists!$H$6:$H$9,0)-1),0)</f>
        <v>2.9344049999999999</v>
      </c>
      <c r="N4" s="5">
        <f ca="1">OFFSET(N12, MATCH('Fuel Prices'!$B$1,'Fuel Prices'!$A$13:$A$22,0) + 12* (MATCH(Dashboard!$H$27,Lists!$H$6:$H$9,0)-1),0)</f>
        <v>2.9344049999999999</v>
      </c>
      <c r="O4" s="5">
        <f ca="1">OFFSET(O12, MATCH('Fuel Prices'!$B$1,'Fuel Prices'!$A$13:$A$22,0) + 12* (MATCH(Dashboard!$H$27,Lists!$H$6:$H$9,0)-1),0)</f>
        <v>2.9344049999999999</v>
      </c>
      <c r="P4" s="5">
        <f ca="1">OFFSET(P12, MATCH('Fuel Prices'!$B$1,'Fuel Prices'!$A$13:$A$22,0) + 12* (MATCH(Dashboard!$H$27,Lists!$H$6:$H$9,0)-1),0)</f>
        <v>2.9344049999999999</v>
      </c>
      <c r="Q4" s="5">
        <f ca="1">OFFSET(Q12, MATCH('Fuel Prices'!$B$1,'Fuel Prices'!$A$13:$A$22,0) + 12* (MATCH(Dashboard!$H$27,Lists!$H$6:$H$9,0)-1),0)</f>
        <v>2.9344049999999999</v>
      </c>
      <c r="R4" s="5">
        <f ca="1">OFFSET(R12, MATCH('Fuel Prices'!$B$1,'Fuel Prices'!$A$13:$A$22,0) + 12* (MATCH(Dashboard!$H$27,Lists!$H$6:$H$9,0)-1),0)</f>
        <v>2.9344049999999999</v>
      </c>
      <c r="S4" s="5">
        <f ca="1">OFFSET(S12, MATCH('Fuel Prices'!$B$1,'Fuel Prices'!$A$13:$A$22,0) + 12* (MATCH(Dashboard!$H$27,Lists!$H$6:$H$9,0)-1),0)</f>
        <v>2.9344049999999999</v>
      </c>
      <c r="T4" s="5">
        <f ca="1">OFFSET(T12, MATCH('Fuel Prices'!$B$1,'Fuel Prices'!$A$13:$A$22,0) + 12* (MATCH(Dashboard!$H$27,Lists!$H$6:$H$9,0)-1),0)</f>
        <v>2.9344049999999999</v>
      </c>
      <c r="U4" s="5">
        <f ca="1">OFFSET(U12, MATCH('Fuel Prices'!$B$1,'Fuel Prices'!$A$13:$A$22,0) + 12* (MATCH(Dashboard!$H$27,Lists!$H$6:$H$9,0)-1),0)</f>
        <v>2.9344049999999999</v>
      </c>
      <c r="V4" s="5">
        <f ca="1">OFFSET(V12, MATCH('Fuel Prices'!$B$1,'Fuel Prices'!$A$13:$A$22,0) + 12* (MATCH(Dashboard!$H$27,Lists!$H$6:$H$9,0)-1),0)</f>
        <v>2.9344049999999999</v>
      </c>
      <c r="W4" s="5">
        <f ca="1">OFFSET(W12, MATCH('Fuel Prices'!$B$1,'Fuel Prices'!$A$13:$A$22,0) + 12* (MATCH(Dashboard!$H$27,Lists!$H$6:$H$9,0)-1),0)</f>
        <v>2.9344049999999999</v>
      </c>
      <c r="X4" s="5">
        <f ca="1">OFFSET(X12, MATCH('Fuel Prices'!$B$1,'Fuel Prices'!$A$13:$A$22,0) + 12* (MATCH(Dashboard!$H$27,Lists!$H$6:$H$9,0)-1),0)</f>
        <v>2.9344049999999999</v>
      </c>
      <c r="Y4" s="5">
        <f ca="1">OFFSET(Y12, MATCH('Fuel Prices'!$B$1,'Fuel Prices'!$A$13:$A$22,0) + 12* (MATCH(Dashboard!$H$27,Lists!$H$6:$H$9,0)-1),0)</f>
        <v>2.9344049999999999</v>
      </c>
      <c r="Z4" s="5">
        <f ca="1">OFFSET(Z12, MATCH('Fuel Prices'!$B$1,'Fuel Prices'!$A$13:$A$22,0) + 12* (MATCH(Dashboard!$H$27,Lists!$H$6:$H$9,0)-1),0)</f>
        <v>2.9344049999999999</v>
      </c>
      <c r="AA4" s="5">
        <f ca="1">OFFSET(AA12, MATCH('Fuel Prices'!$B$1,'Fuel Prices'!$A$13:$A$22,0) + 12* (MATCH(Dashboard!$H$27,Lists!$H$6:$H$9,0)-1),0)</f>
        <v>2.9344049999999999</v>
      </c>
      <c r="AB4" s="5">
        <f ca="1">OFFSET(AB12, MATCH('Fuel Prices'!$B$1,'Fuel Prices'!$A$13:$A$22,0) + 12* (MATCH(Dashboard!$H$27,Lists!$H$6:$H$9,0)-1),0)</f>
        <v>2.9344049999999999</v>
      </c>
      <c r="AC4" s="5">
        <f ca="1">OFFSET(AC12, MATCH('Fuel Prices'!$B$1,'Fuel Prices'!$A$13:$A$22,0) + 12* (MATCH(Dashboard!$H$27,Lists!$H$6:$H$9,0)-1),0)</f>
        <v>2.9344049999999999</v>
      </c>
      <c r="AD4" s="5">
        <f ca="1">OFFSET(AD12, MATCH('Fuel Prices'!$B$1,'Fuel Prices'!$A$13:$A$22,0) + 12* (MATCH(Dashboard!$H$27,Lists!$H$6:$H$9,0)-1),0)</f>
        <v>2.9344049999999999</v>
      </c>
      <c r="AE4" s="5">
        <f ca="1">OFFSET(AE12, MATCH('Fuel Prices'!$B$1,'Fuel Prices'!$A$13:$A$22,0) + 12* (MATCH(Dashboard!$H$27,Lists!$H$6:$H$9,0)-1),0)</f>
        <v>2.9344049999999999</v>
      </c>
      <c r="AF4" s="5">
        <f ca="1">OFFSET(AF12, MATCH('Fuel Prices'!$B$1,'Fuel Prices'!$A$13:$A$22,0) + 12* (MATCH(Dashboard!$H$27,Lists!$H$6:$H$9,0)-1),0)</f>
        <v>2.9344049999999999</v>
      </c>
    </row>
    <row r="5" spans="1:32" x14ac:dyDescent="0.45">
      <c r="A5" t="s">
        <v>28</v>
      </c>
      <c r="B5">
        <f ca="1">B4/Vehicle!B4</f>
        <v>0.15620697056069116</v>
      </c>
      <c r="C5">
        <f ca="1">C4/Vehicle!C4</f>
        <v>0.15620697056069116</v>
      </c>
      <c r="D5">
        <f ca="1">D4/Vehicle!D4</f>
        <v>0.15620697056069116</v>
      </c>
      <c r="E5">
        <f ca="1">E4/Vehicle!E4</f>
        <v>0.15620697056069116</v>
      </c>
      <c r="F5">
        <f ca="1">F4/Vehicle!F4</f>
        <v>0.15620697056069116</v>
      </c>
      <c r="G5">
        <f ca="1">G4/Vehicle!G4</f>
        <v>0.15620697056069116</v>
      </c>
      <c r="H5">
        <f ca="1">H4/Vehicle!H4</f>
        <v>0.15620697056069116</v>
      </c>
      <c r="I5">
        <f ca="1">I4/Vehicle!I4</f>
        <v>0.15620697056069116</v>
      </c>
      <c r="J5">
        <f ca="1">J4/Vehicle!J4</f>
        <v>0.15620697056069116</v>
      </c>
      <c r="K5">
        <f ca="1">K4/Vehicle!K4</f>
        <v>0.15620697056069116</v>
      </c>
      <c r="L5">
        <f ca="1">L4/Vehicle!L4</f>
        <v>0.15620697056069116</v>
      </c>
      <c r="M5">
        <f ca="1">M4/Vehicle!M4</f>
        <v>0.15620697056069116</v>
      </c>
      <c r="N5">
        <f ca="1">N4/Vehicle!N4</f>
        <v>0.15620697056069116</v>
      </c>
      <c r="O5">
        <f ca="1">O4/Vehicle!O4</f>
        <v>0.15620697056069116</v>
      </c>
      <c r="P5">
        <f ca="1">P4/Vehicle!P4</f>
        <v>0.15620697056069116</v>
      </c>
      <c r="Q5">
        <f ca="1">Q4/Vehicle!Q4</f>
        <v>0.15620697056069116</v>
      </c>
      <c r="R5">
        <f ca="1">R4/Vehicle!R4</f>
        <v>0.15620697056069116</v>
      </c>
      <c r="S5">
        <f ca="1">S4/Vehicle!S4</f>
        <v>0.15620697056069116</v>
      </c>
      <c r="T5">
        <f ca="1">T4/Vehicle!T4</f>
        <v>0.15620697056069116</v>
      </c>
      <c r="U5">
        <f ca="1">U4/Vehicle!U4</f>
        <v>0.15620697056069116</v>
      </c>
      <c r="V5">
        <f ca="1">V4/Vehicle!V4</f>
        <v>0.15620697056069116</v>
      </c>
      <c r="W5">
        <f ca="1">W4/Vehicle!W4</f>
        <v>0.15620697056069116</v>
      </c>
      <c r="X5">
        <f ca="1">X4/Vehicle!X4</f>
        <v>0.15620697056069116</v>
      </c>
      <c r="Y5">
        <f ca="1">Y4/Vehicle!Y4</f>
        <v>0.15620697056069116</v>
      </c>
      <c r="Z5">
        <f ca="1">Z4/Vehicle!Z4</f>
        <v>0.15620697056069116</v>
      </c>
      <c r="AA5">
        <f ca="1">AA4/Vehicle!AA4</f>
        <v>0.15620697056069116</v>
      </c>
      <c r="AB5">
        <f ca="1">AB4/Vehicle!AB4</f>
        <v>0.15620697056069116</v>
      </c>
      <c r="AC5">
        <f ca="1">AC4/Vehicle!AC4</f>
        <v>0.15620697056069116</v>
      </c>
      <c r="AD5">
        <f ca="1">AD4/Vehicle!AD4</f>
        <v>0.15620697056069116</v>
      </c>
      <c r="AE5">
        <f ca="1">AE4/Vehicle!AE4</f>
        <v>0.15620697056069116</v>
      </c>
      <c r="AF5">
        <f ca="1">AF4/Vehicle!AF4</f>
        <v>0.15620697056069116</v>
      </c>
    </row>
    <row r="6" spans="1:32" x14ac:dyDescent="0.45">
      <c r="A6" t="s">
        <v>29</v>
      </c>
      <c r="B6">
        <f ca="1">B5*VMT!B4</f>
        <v>0</v>
      </c>
      <c r="C6">
        <f ca="1">C5*VMT!C4</f>
        <v>11565.449659918078</v>
      </c>
      <c r="D6">
        <f ca="1">D5*VMT!D4</f>
        <v>11477.937535128354</v>
      </c>
      <c r="E6">
        <f ca="1">E5*VMT!E4</f>
        <v>11177.500904984699</v>
      </c>
      <c r="F6">
        <f ca="1">F5*VMT!F4</f>
        <v>10696.345148099797</v>
      </c>
      <c r="G6">
        <f ca="1">G5*VMT!G4</f>
        <v>9594.9925362714985</v>
      </c>
      <c r="H6">
        <f ca="1">H5*VMT!H4</f>
        <v>8607.0410496674085</v>
      </c>
      <c r="I6">
        <f ca="1">I5*VMT!I4</f>
        <v>7720.8143050257031</v>
      </c>
      <c r="J6">
        <f ca="1">J5*VMT!J4</f>
        <v>6925.8381816353731</v>
      </c>
      <c r="K6">
        <f ca="1">K5*VMT!K4</f>
        <v>6212.717029986733</v>
      </c>
      <c r="L6">
        <f ca="1">L5*VMT!L4</f>
        <v>5573.0226266379796</v>
      </c>
      <c r="M6">
        <f ca="1">M5*VMT!M4</f>
        <v>4999.1945628795511</v>
      </c>
      <c r="N6">
        <f ca="1">N5*VMT!N4</f>
        <v>4521.3467802151927</v>
      </c>
      <c r="O6">
        <f ca="1">O5*VMT!O4</f>
        <v>4089.1740559077789</v>
      </c>
      <c r="P6">
        <f ca="1">P5*VMT!P4</f>
        <v>3698.3105416022581</v>
      </c>
      <c r="Q6">
        <f ca="1">Q5*VMT!Q4</f>
        <v>3344.807698358059</v>
      </c>
      <c r="R6">
        <f ca="1">R5*VMT!R4</f>
        <v>3025.0944081478765</v>
      </c>
      <c r="S6">
        <f ca="1">S5*VMT!S4</f>
        <v>2735.9408980970134</v>
      </c>
      <c r="T6">
        <f ca="1">T5*VMT!T4</f>
        <v>2461.350373768928</v>
      </c>
      <c r="U6">
        <f ca="1">U5*VMT!U4</f>
        <v>2214.3189082287045</v>
      </c>
      <c r="V6">
        <f ca="1">V5*VMT!V4</f>
        <v>1992.0805585395608</v>
      </c>
      <c r="W6">
        <f ca="1">W5*VMT!W4</f>
        <v>1792.1469834197053</v>
      </c>
      <c r="X6">
        <f ca="1">X5*VMT!X4</f>
        <v>1612.2795819738265</v>
      </c>
      <c r="Y6">
        <f ca="1">Y5*VMT!Y4</f>
        <v>1450.4644286985522</v>
      </c>
      <c r="Z6">
        <f ca="1">Z5*VMT!Z4</f>
        <v>1304.8897241160814</v>
      </c>
      <c r="AA6">
        <f ca="1">AA5*VMT!AA4</f>
        <v>1173.92550855697</v>
      </c>
      <c r="AB6">
        <f ca="1">AB5*VMT!AB4</f>
        <v>1056.1054119529158</v>
      </c>
      <c r="AC6">
        <f ca="1">AC5*VMT!AC4</f>
        <v>950.11023529702118</v>
      </c>
      <c r="AD6">
        <f ca="1">AD5*VMT!AD4</f>
        <v>854.75317993769204</v>
      </c>
      <c r="AE6">
        <f ca="1">AE5*VMT!AE4</f>
        <v>768.96655932266333</v>
      </c>
      <c r="AF6">
        <f ca="1">AF5*VMT!AF4</f>
        <v>691.78984440822921</v>
      </c>
    </row>
    <row r="8" spans="1:32" x14ac:dyDescent="0.45">
      <c r="A8" t="s">
        <v>1</v>
      </c>
      <c r="C8" t="s">
        <v>30</v>
      </c>
      <c r="F8" t="s">
        <v>340</v>
      </c>
      <c r="N8" t="s">
        <v>237</v>
      </c>
    </row>
    <row r="9" spans="1:32" x14ac:dyDescent="0.45">
      <c r="A9" s="6" t="str">
        <f>Dashboard!$H$27</f>
        <v>Flat or incremental changes from first year</v>
      </c>
      <c r="C9" s="4">
        <v>0</v>
      </c>
      <c r="F9" s="2" t="b">
        <v>1</v>
      </c>
      <c r="N9" s="6">
        <f ca="1">Vehicle!$Y$14</f>
        <v>0.49629728974977283</v>
      </c>
    </row>
    <row r="12" spans="1:32" x14ac:dyDescent="0.45">
      <c r="B12" s="1" t="s">
        <v>196</v>
      </c>
    </row>
    <row r="13" spans="1:32" x14ac:dyDescent="0.45">
      <c r="A13" t="s">
        <v>182</v>
      </c>
      <c r="B13" s="7">
        <f t="shared" ref="B13:B22" ca="1" si="0">IF($I$1="LDV", OFFSET(A63,0,MATCH($F$1,$B$62:$H$62,0)),  IF($I$1="HDV", OFFSET(J63,0,MATCH($F$1,$B$62:$H$62,0)),  0))</f>
        <v>3.0237942982178545</v>
      </c>
      <c r="C13" s="28">
        <f t="shared" ref="C13:AF13" ca="1" si="1">B13*(1+$C$9)</f>
        <v>3.0237942982178545</v>
      </c>
      <c r="D13" s="28">
        <f t="shared" ca="1" si="1"/>
        <v>3.0237942982178545</v>
      </c>
      <c r="E13" s="28">
        <f t="shared" ca="1" si="1"/>
        <v>3.0237942982178545</v>
      </c>
      <c r="F13" s="28">
        <f t="shared" ca="1" si="1"/>
        <v>3.0237942982178545</v>
      </c>
      <c r="G13" s="28">
        <f t="shared" ca="1" si="1"/>
        <v>3.0237942982178545</v>
      </c>
      <c r="H13" s="28">
        <f t="shared" ca="1" si="1"/>
        <v>3.0237942982178545</v>
      </c>
      <c r="I13" s="28">
        <f t="shared" ca="1" si="1"/>
        <v>3.0237942982178545</v>
      </c>
      <c r="J13" s="28">
        <f t="shared" ca="1" si="1"/>
        <v>3.0237942982178545</v>
      </c>
      <c r="K13" s="28">
        <f t="shared" ca="1" si="1"/>
        <v>3.0237942982178545</v>
      </c>
      <c r="L13" s="28">
        <f t="shared" ca="1" si="1"/>
        <v>3.0237942982178545</v>
      </c>
      <c r="M13" s="28">
        <f t="shared" ca="1" si="1"/>
        <v>3.0237942982178545</v>
      </c>
      <c r="N13" s="28">
        <f t="shared" ca="1" si="1"/>
        <v>3.0237942982178545</v>
      </c>
      <c r="O13" s="28">
        <f t="shared" ca="1" si="1"/>
        <v>3.0237942982178545</v>
      </c>
      <c r="P13" s="28">
        <f t="shared" ca="1" si="1"/>
        <v>3.0237942982178545</v>
      </c>
      <c r="Q13" s="28">
        <f t="shared" ca="1" si="1"/>
        <v>3.0237942982178545</v>
      </c>
      <c r="R13" s="28">
        <f t="shared" ca="1" si="1"/>
        <v>3.0237942982178545</v>
      </c>
      <c r="S13" s="28">
        <f t="shared" ca="1" si="1"/>
        <v>3.0237942982178545</v>
      </c>
      <c r="T13" s="28">
        <f t="shared" ca="1" si="1"/>
        <v>3.0237942982178545</v>
      </c>
      <c r="U13" s="28">
        <f t="shared" ca="1" si="1"/>
        <v>3.0237942982178545</v>
      </c>
      <c r="V13" s="28">
        <f t="shared" ca="1" si="1"/>
        <v>3.0237942982178545</v>
      </c>
      <c r="W13" s="28">
        <f t="shared" ca="1" si="1"/>
        <v>3.0237942982178545</v>
      </c>
      <c r="X13" s="28">
        <f t="shared" ca="1" si="1"/>
        <v>3.0237942982178545</v>
      </c>
      <c r="Y13" s="28">
        <f t="shared" ca="1" si="1"/>
        <v>3.0237942982178545</v>
      </c>
      <c r="Z13" s="28">
        <f t="shared" ca="1" si="1"/>
        <v>3.0237942982178545</v>
      </c>
      <c r="AA13" s="28">
        <f t="shared" ca="1" si="1"/>
        <v>3.0237942982178545</v>
      </c>
      <c r="AB13" s="28">
        <f t="shared" ca="1" si="1"/>
        <v>3.0237942982178545</v>
      </c>
      <c r="AC13" s="28">
        <f t="shared" ca="1" si="1"/>
        <v>3.0237942982178545</v>
      </c>
      <c r="AD13" s="28">
        <f t="shared" ca="1" si="1"/>
        <v>3.0237942982178545</v>
      </c>
      <c r="AE13" s="28">
        <f t="shared" ca="1" si="1"/>
        <v>3.0237942982178545</v>
      </c>
      <c r="AF13" s="28">
        <f t="shared" ca="1" si="1"/>
        <v>3.0237942982178545</v>
      </c>
    </row>
    <row r="14" spans="1:32" x14ac:dyDescent="0.45">
      <c r="A14" t="s">
        <v>183</v>
      </c>
      <c r="B14" s="7">
        <f t="shared" ca="1" si="0"/>
        <v>3.4393685216883076</v>
      </c>
      <c r="C14" s="28">
        <f t="shared" ref="C14:AF14" ca="1" si="2">B14*(1+$C$9)</f>
        <v>3.4393685216883076</v>
      </c>
      <c r="D14" s="28">
        <f t="shared" ca="1" si="2"/>
        <v>3.4393685216883076</v>
      </c>
      <c r="E14" s="28">
        <f t="shared" ca="1" si="2"/>
        <v>3.4393685216883076</v>
      </c>
      <c r="F14" s="28">
        <f t="shared" ca="1" si="2"/>
        <v>3.4393685216883076</v>
      </c>
      <c r="G14" s="28">
        <f t="shared" ca="1" si="2"/>
        <v>3.4393685216883076</v>
      </c>
      <c r="H14" s="28">
        <f t="shared" ca="1" si="2"/>
        <v>3.4393685216883076</v>
      </c>
      <c r="I14" s="28">
        <f t="shared" ca="1" si="2"/>
        <v>3.4393685216883076</v>
      </c>
      <c r="J14" s="28">
        <f t="shared" ca="1" si="2"/>
        <v>3.4393685216883076</v>
      </c>
      <c r="K14" s="28">
        <f t="shared" ca="1" si="2"/>
        <v>3.4393685216883076</v>
      </c>
      <c r="L14" s="28">
        <f t="shared" ca="1" si="2"/>
        <v>3.4393685216883076</v>
      </c>
      <c r="M14" s="28">
        <f t="shared" ca="1" si="2"/>
        <v>3.4393685216883076</v>
      </c>
      <c r="N14" s="28">
        <f t="shared" ca="1" si="2"/>
        <v>3.4393685216883076</v>
      </c>
      <c r="O14" s="28">
        <f t="shared" ca="1" si="2"/>
        <v>3.4393685216883076</v>
      </c>
      <c r="P14" s="28">
        <f t="shared" ca="1" si="2"/>
        <v>3.4393685216883076</v>
      </c>
      <c r="Q14" s="28">
        <f t="shared" ca="1" si="2"/>
        <v>3.4393685216883076</v>
      </c>
      <c r="R14" s="28">
        <f t="shared" ca="1" si="2"/>
        <v>3.4393685216883076</v>
      </c>
      <c r="S14" s="28">
        <f t="shared" ca="1" si="2"/>
        <v>3.4393685216883076</v>
      </c>
      <c r="T14" s="28">
        <f t="shared" ca="1" si="2"/>
        <v>3.4393685216883076</v>
      </c>
      <c r="U14" s="28">
        <f t="shared" ca="1" si="2"/>
        <v>3.4393685216883076</v>
      </c>
      <c r="V14" s="28">
        <f t="shared" ca="1" si="2"/>
        <v>3.4393685216883076</v>
      </c>
      <c r="W14" s="28">
        <f t="shared" ca="1" si="2"/>
        <v>3.4393685216883076</v>
      </c>
      <c r="X14" s="28">
        <f t="shared" ca="1" si="2"/>
        <v>3.4393685216883076</v>
      </c>
      <c r="Y14" s="28">
        <f t="shared" ca="1" si="2"/>
        <v>3.4393685216883076</v>
      </c>
      <c r="Z14" s="28">
        <f t="shared" ca="1" si="2"/>
        <v>3.4393685216883076</v>
      </c>
      <c r="AA14" s="28">
        <f t="shared" ca="1" si="2"/>
        <v>3.4393685216883076</v>
      </c>
      <c r="AB14" s="28">
        <f t="shared" ca="1" si="2"/>
        <v>3.4393685216883076</v>
      </c>
      <c r="AC14" s="28">
        <f t="shared" ca="1" si="2"/>
        <v>3.4393685216883076</v>
      </c>
      <c r="AD14" s="28">
        <f t="shared" ca="1" si="2"/>
        <v>3.4393685216883076</v>
      </c>
      <c r="AE14" s="28">
        <f t="shared" ca="1" si="2"/>
        <v>3.4393685216883076</v>
      </c>
      <c r="AF14" s="28">
        <f t="shared" ca="1" si="2"/>
        <v>3.4393685216883076</v>
      </c>
    </row>
    <row r="15" spans="1:32" x14ac:dyDescent="0.45">
      <c r="A15" t="s">
        <v>48</v>
      </c>
      <c r="B15" s="7">
        <f t="shared" ca="1" si="0"/>
        <v>2.9344049999999999</v>
      </c>
      <c r="C15" s="28">
        <f t="shared" ref="C15:AF15" ca="1" si="3">B15*(1+$C$9)</f>
        <v>2.9344049999999999</v>
      </c>
      <c r="D15" s="28">
        <f t="shared" ca="1" si="3"/>
        <v>2.9344049999999999</v>
      </c>
      <c r="E15" s="28">
        <f t="shared" ca="1" si="3"/>
        <v>2.9344049999999999</v>
      </c>
      <c r="F15" s="28">
        <f t="shared" ca="1" si="3"/>
        <v>2.9344049999999999</v>
      </c>
      <c r="G15" s="28">
        <f t="shared" ca="1" si="3"/>
        <v>2.9344049999999999</v>
      </c>
      <c r="H15" s="28">
        <f t="shared" ca="1" si="3"/>
        <v>2.9344049999999999</v>
      </c>
      <c r="I15" s="28">
        <f t="shared" ca="1" si="3"/>
        <v>2.9344049999999999</v>
      </c>
      <c r="J15" s="28">
        <f t="shared" ca="1" si="3"/>
        <v>2.9344049999999999</v>
      </c>
      <c r="K15" s="28">
        <f t="shared" ca="1" si="3"/>
        <v>2.9344049999999999</v>
      </c>
      <c r="L15" s="28">
        <f t="shared" ca="1" si="3"/>
        <v>2.9344049999999999</v>
      </c>
      <c r="M15" s="28">
        <f t="shared" ca="1" si="3"/>
        <v>2.9344049999999999</v>
      </c>
      <c r="N15" s="28">
        <f t="shared" ca="1" si="3"/>
        <v>2.9344049999999999</v>
      </c>
      <c r="O15" s="28">
        <f t="shared" ca="1" si="3"/>
        <v>2.9344049999999999</v>
      </c>
      <c r="P15" s="28">
        <f t="shared" ca="1" si="3"/>
        <v>2.9344049999999999</v>
      </c>
      <c r="Q15" s="28">
        <f t="shared" ca="1" si="3"/>
        <v>2.9344049999999999</v>
      </c>
      <c r="R15" s="28">
        <f t="shared" ca="1" si="3"/>
        <v>2.9344049999999999</v>
      </c>
      <c r="S15" s="28">
        <f t="shared" ca="1" si="3"/>
        <v>2.9344049999999999</v>
      </c>
      <c r="T15" s="28">
        <f t="shared" ca="1" si="3"/>
        <v>2.9344049999999999</v>
      </c>
      <c r="U15" s="28">
        <f t="shared" ca="1" si="3"/>
        <v>2.9344049999999999</v>
      </c>
      <c r="V15" s="28">
        <f t="shared" ca="1" si="3"/>
        <v>2.9344049999999999</v>
      </c>
      <c r="W15" s="28">
        <f t="shared" ca="1" si="3"/>
        <v>2.9344049999999999</v>
      </c>
      <c r="X15" s="28">
        <f t="shared" ca="1" si="3"/>
        <v>2.9344049999999999</v>
      </c>
      <c r="Y15" s="28">
        <f t="shared" ca="1" si="3"/>
        <v>2.9344049999999999</v>
      </c>
      <c r="Z15" s="28">
        <f t="shared" ca="1" si="3"/>
        <v>2.9344049999999999</v>
      </c>
      <c r="AA15" s="28">
        <f t="shared" ca="1" si="3"/>
        <v>2.9344049999999999</v>
      </c>
      <c r="AB15" s="28">
        <f t="shared" ca="1" si="3"/>
        <v>2.9344049999999999</v>
      </c>
      <c r="AC15" s="28">
        <f t="shared" ca="1" si="3"/>
        <v>2.9344049999999999</v>
      </c>
      <c r="AD15" s="28">
        <f t="shared" ca="1" si="3"/>
        <v>2.9344049999999999</v>
      </c>
      <c r="AE15" s="28">
        <f t="shared" ca="1" si="3"/>
        <v>2.9344049999999999</v>
      </c>
      <c r="AF15" s="28">
        <f t="shared" ca="1" si="3"/>
        <v>2.9344049999999999</v>
      </c>
    </row>
    <row r="16" spans="1:32" x14ac:dyDescent="0.45">
      <c r="A16" t="s">
        <v>49</v>
      </c>
      <c r="B16" s="7">
        <f t="shared" ca="1" si="0"/>
        <v>15.819457528314457</v>
      </c>
      <c r="C16" s="28">
        <f t="shared" ref="C16:AF16" ca="1" si="4">B16*(1+$C$9)</f>
        <v>15.819457528314457</v>
      </c>
      <c r="D16" s="28">
        <f t="shared" ca="1" si="4"/>
        <v>15.819457528314457</v>
      </c>
      <c r="E16" s="28">
        <f t="shared" ca="1" si="4"/>
        <v>15.819457528314457</v>
      </c>
      <c r="F16" s="28">
        <f t="shared" ca="1" si="4"/>
        <v>15.819457528314457</v>
      </c>
      <c r="G16" s="28">
        <f t="shared" ca="1" si="4"/>
        <v>15.819457528314457</v>
      </c>
      <c r="H16" s="28">
        <f t="shared" ca="1" si="4"/>
        <v>15.819457528314457</v>
      </c>
      <c r="I16" s="28">
        <f t="shared" ca="1" si="4"/>
        <v>15.819457528314457</v>
      </c>
      <c r="J16" s="28">
        <f t="shared" ca="1" si="4"/>
        <v>15.819457528314457</v>
      </c>
      <c r="K16" s="28">
        <f t="shared" ca="1" si="4"/>
        <v>15.819457528314457</v>
      </c>
      <c r="L16" s="28">
        <f t="shared" ca="1" si="4"/>
        <v>15.819457528314457</v>
      </c>
      <c r="M16" s="28">
        <f t="shared" ca="1" si="4"/>
        <v>15.819457528314457</v>
      </c>
      <c r="N16" s="28">
        <f t="shared" ca="1" si="4"/>
        <v>15.819457528314457</v>
      </c>
      <c r="O16" s="28">
        <f t="shared" ca="1" si="4"/>
        <v>15.819457528314457</v>
      </c>
      <c r="P16" s="28">
        <f t="shared" ca="1" si="4"/>
        <v>15.819457528314457</v>
      </c>
      <c r="Q16" s="28">
        <f t="shared" ca="1" si="4"/>
        <v>15.819457528314457</v>
      </c>
      <c r="R16" s="28">
        <f t="shared" ca="1" si="4"/>
        <v>15.819457528314457</v>
      </c>
      <c r="S16" s="28">
        <f t="shared" ca="1" si="4"/>
        <v>15.819457528314457</v>
      </c>
      <c r="T16" s="28">
        <f t="shared" ca="1" si="4"/>
        <v>15.819457528314457</v>
      </c>
      <c r="U16" s="28">
        <f t="shared" ca="1" si="4"/>
        <v>15.819457528314457</v>
      </c>
      <c r="V16" s="28">
        <f t="shared" ca="1" si="4"/>
        <v>15.819457528314457</v>
      </c>
      <c r="W16" s="28">
        <f t="shared" ca="1" si="4"/>
        <v>15.819457528314457</v>
      </c>
      <c r="X16" s="28">
        <f t="shared" ca="1" si="4"/>
        <v>15.819457528314457</v>
      </c>
      <c r="Y16" s="28">
        <f t="shared" ca="1" si="4"/>
        <v>15.819457528314457</v>
      </c>
      <c r="Z16" s="28">
        <f t="shared" ca="1" si="4"/>
        <v>15.819457528314457</v>
      </c>
      <c r="AA16" s="28">
        <f t="shared" ca="1" si="4"/>
        <v>15.819457528314457</v>
      </c>
      <c r="AB16" s="28">
        <f t="shared" ca="1" si="4"/>
        <v>15.819457528314457</v>
      </c>
      <c r="AC16" s="28">
        <f t="shared" ca="1" si="4"/>
        <v>15.819457528314457</v>
      </c>
      <c r="AD16" s="28">
        <f t="shared" ca="1" si="4"/>
        <v>15.819457528314457</v>
      </c>
      <c r="AE16" s="28">
        <f t="shared" ca="1" si="4"/>
        <v>15.819457528314457</v>
      </c>
      <c r="AF16" s="28">
        <f t="shared" ca="1" si="4"/>
        <v>15.819457528314457</v>
      </c>
    </row>
    <row r="17" spans="1:32" x14ac:dyDescent="0.45">
      <c r="A17" t="s">
        <v>52</v>
      </c>
      <c r="B17" s="7">
        <f t="shared" ca="1" si="0"/>
        <v>4.3907094128814004</v>
      </c>
      <c r="C17" s="28">
        <f t="shared" ref="C17:AF17" ca="1" si="5">B17*(1+$C$9)</f>
        <v>4.3907094128814004</v>
      </c>
      <c r="D17" s="28">
        <f t="shared" ca="1" si="5"/>
        <v>4.3907094128814004</v>
      </c>
      <c r="E17" s="28">
        <f t="shared" ca="1" si="5"/>
        <v>4.3907094128814004</v>
      </c>
      <c r="F17" s="28">
        <f t="shared" ca="1" si="5"/>
        <v>4.3907094128814004</v>
      </c>
      <c r="G17" s="28">
        <f t="shared" ca="1" si="5"/>
        <v>4.3907094128814004</v>
      </c>
      <c r="H17" s="28">
        <f t="shared" ca="1" si="5"/>
        <v>4.3907094128814004</v>
      </c>
      <c r="I17" s="28">
        <f t="shared" ca="1" si="5"/>
        <v>4.3907094128814004</v>
      </c>
      <c r="J17" s="28">
        <f t="shared" ca="1" si="5"/>
        <v>4.3907094128814004</v>
      </c>
      <c r="K17" s="28">
        <f t="shared" ca="1" si="5"/>
        <v>4.3907094128814004</v>
      </c>
      <c r="L17" s="28">
        <f t="shared" ca="1" si="5"/>
        <v>4.3907094128814004</v>
      </c>
      <c r="M17" s="28">
        <f t="shared" ca="1" si="5"/>
        <v>4.3907094128814004</v>
      </c>
      <c r="N17" s="28">
        <f t="shared" ca="1" si="5"/>
        <v>4.3907094128814004</v>
      </c>
      <c r="O17" s="28">
        <f t="shared" ca="1" si="5"/>
        <v>4.3907094128814004</v>
      </c>
      <c r="P17" s="28">
        <f t="shared" ca="1" si="5"/>
        <v>4.3907094128814004</v>
      </c>
      <c r="Q17" s="28">
        <f t="shared" ca="1" si="5"/>
        <v>4.3907094128814004</v>
      </c>
      <c r="R17" s="28">
        <f t="shared" ca="1" si="5"/>
        <v>4.3907094128814004</v>
      </c>
      <c r="S17" s="28">
        <f t="shared" ca="1" si="5"/>
        <v>4.3907094128814004</v>
      </c>
      <c r="T17" s="28">
        <f t="shared" ca="1" si="5"/>
        <v>4.3907094128814004</v>
      </c>
      <c r="U17" s="28">
        <f t="shared" ca="1" si="5"/>
        <v>4.3907094128814004</v>
      </c>
      <c r="V17" s="28">
        <f t="shared" ca="1" si="5"/>
        <v>4.3907094128814004</v>
      </c>
      <c r="W17" s="28">
        <f t="shared" ca="1" si="5"/>
        <v>4.3907094128814004</v>
      </c>
      <c r="X17" s="28">
        <f t="shared" ca="1" si="5"/>
        <v>4.3907094128814004</v>
      </c>
      <c r="Y17" s="28">
        <f t="shared" ca="1" si="5"/>
        <v>4.3907094128814004</v>
      </c>
      <c r="Z17" s="28">
        <f t="shared" ca="1" si="5"/>
        <v>4.3907094128814004</v>
      </c>
      <c r="AA17" s="28">
        <f t="shared" ca="1" si="5"/>
        <v>4.3907094128814004</v>
      </c>
      <c r="AB17" s="28">
        <f t="shared" ca="1" si="5"/>
        <v>4.3907094128814004</v>
      </c>
      <c r="AC17" s="28">
        <f t="shared" ca="1" si="5"/>
        <v>4.3907094128814004</v>
      </c>
      <c r="AD17" s="28">
        <f t="shared" ca="1" si="5"/>
        <v>4.3907094128814004</v>
      </c>
      <c r="AE17" s="28">
        <f t="shared" ca="1" si="5"/>
        <v>4.3907094128814004</v>
      </c>
      <c r="AF17" s="28">
        <f t="shared" ca="1" si="5"/>
        <v>4.3907094128814004</v>
      </c>
    </row>
    <row r="18" spans="1:32" x14ac:dyDescent="0.45">
      <c r="A18" t="s">
        <v>411</v>
      </c>
      <c r="B18" s="7">
        <f t="shared" ca="1" si="0"/>
        <v>3.7021905649433724</v>
      </c>
      <c r="C18" s="28">
        <f t="shared" ref="C18:AF18" ca="1" si="6">B18*(1+$C$9)</f>
        <v>3.7021905649433724</v>
      </c>
      <c r="D18" s="28">
        <f t="shared" ca="1" si="6"/>
        <v>3.7021905649433724</v>
      </c>
      <c r="E18" s="28">
        <f t="shared" ca="1" si="6"/>
        <v>3.7021905649433724</v>
      </c>
      <c r="F18" s="28">
        <f t="shared" ca="1" si="6"/>
        <v>3.7021905649433724</v>
      </c>
      <c r="G18" s="28">
        <f t="shared" ca="1" si="6"/>
        <v>3.7021905649433724</v>
      </c>
      <c r="H18" s="28">
        <f t="shared" ca="1" si="6"/>
        <v>3.7021905649433724</v>
      </c>
      <c r="I18" s="28">
        <f t="shared" ca="1" si="6"/>
        <v>3.7021905649433724</v>
      </c>
      <c r="J18" s="28">
        <f t="shared" ca="1" si="6"/>
        <v>3.7021905649433724</v>
      </c>
      <c r="K18" s="28">
        <f t="shared" ca="1" si="6"/>
        <v>3.7021905649433724</v>
      </c>
      <c r="L18" s="28">
        <f t="shared" ca="1" si="6"/>
        <v>3.7021905649433724</v>
      </c>
      <c r="M18" s="28">
        <f t="shared" ca="1" si="6"/>
        <v>3.7021905649433724</v>
      </c>
      <c r="N18" s="28">
        <f t="shared" ca="1" si="6"/>
        <v>3.7021905649433724</v>
      </c>
      <c r="O18" s="28">
        <f t="shared" ca="1" si="6"/>
        <v>3.7021905649433724</v>
      </c>
      <c r="P18" s="28">
        <f t="shared" ca="1" si="6"/>
        <v>3.7021905649433724</v>
      </c>
      <c r="Q18" s="28">
        <f t="shared" ca="1" si="6"/>
        <v>3.7021905649433724</v>
      </c>
      <c r="R18" s="28">
        <f t="shared" ca="1" si="6"/>
        <v>3.7021905649433724</v>
      </c>
      <c r="S18" s="28">
        <f t="shared" ca="1" si="6"/>
        <v>3.7021905649433724</v>
      </c>
      <c r="T18" s="28">
        <f t="shared" ca="1" si="6"/>
        <v>3.7021905649433724</v>
      </c>
      <c r="U18" s="28">
        <f t="shared" ca="1" si="6"/>
        <v>3.7021905649433724</v>
      </c>
      <c r="V18" s="28">
        <f t="shared" ca="1" si="6"/>
        <v>3.7021905649433724</v>
      </c>
      <c r="W18" s="28">
        <f t="shared" ca="1" si="6"/>
        <v>3.7021905649433724</v>
      </c>
      <c r="X18" s="28">
        <f t="shared" ca="1" si="6"/>
        <v>3.7021905649433724</v>
      </c>
      <c r="Y18" s="28">
        <f t="shared" ca="1" si="6"/>
        <v>3.7021905649433724</v>
      </c>
      <c r="Z18" s="28">
        <f t="shared" ca="1" si="6"/>
        <v>3.7021905649433724</v>
      </c>
      <c r="AA18" s="28">
        <f t="shared" ca="1" si="6"/>
        <v>3.7021905649433724</v>
      </c>
      <c r="AB18" s="28">
        <f t="shared" ca="1" si="6"/>
        <v>3.7021905649433724</v>
      </c>
      <c r="AC18" s="28">
        <f t="shared" ca="1" si="6"/>
        <v>3.7021905649433724</v>
      </c>
      <c r="AD18" s="28">
        <f t="shared" ca="1" si="6"/>
        <v>3.7021905649433724</v>
      </c>
      <c r="AE18" s="28">
        <f t="shared" ca="1" si="6"/>
        <v>3.7021905649433724</v>
      </c>
      <c r="AF18" s="28">
        <f t="shared" ca="1" si="6"/>
        <v>3.7021905649433724</v>
      </c>
    </row>
    <row r="19" spans="1:32" x14ac:dyDescent="0.45">
      <c r="A19" t="s">
        <v>410</v>
      </c>
      <c r="B19" s="7">
        <f t="shared" ca="1" si="0"/>
        <v>3.9115164276155729</v>
      </c>
      <c r="C19" s="28">
        <f t="shared" ref="C19:AF19" ca="1" si="7">B19*(1+$C$9)</f>
        <v>3.9115164276155729</v>
      </c>
      <c r="D19" s="28">
        <f t="shared" ca="1" si="7"/>
        <v>3.9115164276155729</v>
      </c>
      <c r="E19" s="28">
        <f t="shared" ca="1" si="7"/>
        <v>3.9115164276155729</v>
      </c>
      <c r="F19" s="28">
        <f t="shared" ca="1" si="7"/>
        <v>3.9115164276155729</v>
      </c>
      <c r="G19" s="28">
        <f t="shared" ca="1" si="7"/>
        <v>3.9115164276155729</v>
      </c>
      <c r="H19" s="28">
        <f t="shared" ca="1" si="7"/>
        <v>3.9115164276155729</v>
      </c>
      <c r="I19" s="28">
        <f t="shared" ca="1" si="7"/>
        <v>3.9115164276155729</v>
      </c>
      <c r="J19" s="28">
        <f t="shared" ca="1" si="7"/>
        <v>3.9115164276155729</v>
      </c>
      <c r="K19" s="28">
        <f t="shared" ca="1" si="7"/>
        <v>3.9115164276155729</v>
      </c>
      <c r="L19" s="28">
        <f t="shared" ca="1" si="7"/>
        <v>3.9115164276155729</v>
      </c>
      <c r="M19" s="28">
        <f t="shared" ca="1" si="7"/>
        <v>3.9115164276155729</v>
      </c>
      <c r="N19" s="28">
        <f t="shared" ca="1" si="7"/>
        <v>3.9115164276155729</v>
      </c>
      <c r="O19" s="28">
        <f t="shared" ca="1" si="7"/>
        <v>3.9115164276155729</v>
      </c>
      <c r="P19" s="28">
        <f t="shared" ca="1" si="7"/>
        <v>3.9115164276155729</v>
      </c>
      <c r="Q19" s="28">
        <f t="shared" ca="1" si="7"/>
        <v>3.9115164276155729</v>
      </c>
      <c r="R19" s="28">
        <f t="shared" ca="1" si="7"/>
        <v>3.9115164276155729</v>
      </c>
      <c r="S19" s="28">
        <f t="shared" ca="1" si="7"/>
        <v>3.9115164276155729</v>
      </c>
      <c r="T19" s="28">
        <f t="shared" ca="1" si="7"/>
        <v>3.9115164276155729</v>
      </c>
      <c r="U19" s="28">
        <f t="shared" ca="1" si="7"/>
        <v>3.9115164276155729</v>
      </c>
      <c r="V19" s="28">
        <f t="shared" ca="1" si="7"/>
        <v>3.9115164276155729</v>
      </c>
      <c r="W19" s="28">
        <f t="shared" ca="1" si="7"/>
        <v>3.9115164276155729</v>
      </c>
      <c r="X19" s="28">
        <f t="shared" ca="1" si="7"/>
        <v>3.9115164276155729</v>
      </c>
      <c r="Y19" s="28">
        <f t="shared" ca="1" si="7"/>
        <v>3.9115164276155729</v>
      </c>
      <c r="Z19" s="28">
        <f t="shared" ca="1" si="7"/>
        <v>3.9115164276155729</v>
      </c>
      <c r="AA19" s="28">
        <f t="shared" ca="1" si="7"/>
        <v>3.9115164276155729</v>
      </c>
      <c r="AB19" s="28">
        <f t="shared" ca="1" si="7"/>
        <v>3.9115164276155729</v>
      </c>
      <c r="AC19" s="28">
        <f t="shared" ca="1" si="7"/>
        <v>3.9115164276155729</v>
      </c>
      <c r="AD19" s="28">
        <f t="shared" ca="1" si="7"/>
        <v>3.9115164276155729</v>
      </c>
      <c r="AE19" s="28">
        <f t="shared" ca="1" si="7"/>
        <v>3.9115164276155729</v>
      </c>
      <c r="AF19" s="28">
        <f t="shared" ca="1" si="7"/>
        <v>3.9115164276155729</v>
      </c>
    </row>
    <row r="20" spans="1:32" x14ac:dyDescent="0.45">
      <c r="A20" t="s">
        <v>412</v>
      </c>
      <c r="B20" s="7">
        <f t="shared" ca="1" si="0"/>
        <v>3.6571649331636733</v>
      </c>
      <c r="C20" s="28">
        <f t="shared" ref="C20:AF21" ca="1" si="8">B20*(1+$C$9)</f>
        <v>3.6571649331636733</v>
      </c>
      <c r="D20" s="28">
        <f t="shared" ca="1" si="8"/>
        <v>3.6571649331636733</v>
      </c>
      <c r="E20" s="28">
        <f t="shared" ca="1" si="8"/>
        <v>3.6571649331636733</v>
      </c>
      <c r="F20" s="28">
        <f t="shared" ca="1" si="8"/>
        <v>3.6571649331636733</v>
      </c>
      <c r="G20" s="28">
        <f t="shared" ca="1" si="8"/>
        <v>3.6571649331636733</v>
      </c>
      <c r="H20" s="28">
        <f t="shared" ca="1" si="8"/>
        <v>3.6571649331636733</v>
      </c>
      <c r="I20" s="28">
        <f t="shared" ca="1" si="8"/>
        <v>3.6571649331636733</v>
      </c>
      <c r="J20" s="28">
        <f t="shared" ca="1" si="8"/>
        <v>3.6571649331636733</v>
      </c>
      <c r="K20" s="28">
        <f t="shared" ca="1" si="8"/>
        <v>3.6571649331636733</v>
      </c>
      <c r="L20" s="28">
        <f t="shared" ca="1" si="8"/>
        <v>3.6571649331636733</v>
      </c>
      <c r="M20" s="28">
        <f t="shared" ca="1" si="8"/>
        <v>3.6571649331636733</v>
      </c>
      <c r="N20" s="28">
        <f t="shared" ca="1" si="8"/>
        <v>3.6571649331636733</v>
      </c>
      <c r="O20" s="28">
        <f t="shared" ca="1" si="8"/>
        <v>3.6571649331636733</v>
      </c>
      <c r="P20" s="28">
        <f t="shared" ca="1" si="8"/>
        <v>3.6571649331636733</v>
      </c>
      <c r="Q20" s="28">
        <f t="shared" ca="1" si="8"/>
        <v>3.6571649331636733</v>
      </c>
      <c r="R20" s="28">
        <f t="shared" ca="1" si="8"/>
        <v>3.6571649331636733</v>
      </c>
      <c r="S20" s="28">
        <f t="shared" ca="1" si="8"/>
        <v>3.6571649331636733</v>
      </c>
      <c r="T20" s="28">
        <f t="shared" ca="1" si="8"/>
        <v>3.6571649331636733</v>
      </c>
      <c r="U20" s="28">
        <f t="shared" ca="1" si="8"/>
        <v>3.6571649331636733</v>
      </c>
      <c r="V20" s="28">
        <f t="shared" ca="1" si="8"/>
        <v>3.6571649331636733</v>
      </c>
      <c r="W20" s="28">
        <f t="shared" ca="1" si="8"/>
        <v>3.6571649331636733</v>
      </c>
      <c r="X20" s="28">
        <f t="shared" ca="1" si="8"/>
        <v>3.6571649331636733</v>
      </c>
      <c r="Y20" s="28">
        <f t="shared" ca="1" si="8"/>
        <v>3.6571649331636733</v>
      </c>
      <c r="Z20" s="28">
        <f t="shared" ca="1" si="8"/>
        <v>3.6571649331636733</v>
      </c>
      <c r="AA20" s="28">
        <f t="shared" ca="1" si="8"/>
        <v>3.6571649331636733</v>
      </c>
      <c r="AB20" s="28">
        <f t="shared" ca="1" si="8"/>
        <v>3.6571649331636733</v>
      </c>
      <c r="AC20" s="28">
        <f t="shared" ca="1" si="8"/>
        <v>3.6571649331636733</v>
      </c>
      <c r="AD20" s="28">
        <f t="shared" ca="1" si="8"/>
        <v>3.6571649331636733</v>
      </c>
      <c r="AE20" s="28">
        <f t="shared" ca="1" si="8"/>
        <v>3.6571649331636733</v>
      </c>
      <c r="AF20" s="28">
        <f t="shared" ca="1" si="8"/>
        <v>3.6571649331636733</v>
      </c>
    </row>
    <row r="21" spans="1:32" x14ac:dyDescent="0.45">
      <c r="A21" t="s">
        <v>51</v>
      </c>
      <c r="B21" s="7">
        <f t="shared" ca="1" si="0"/>
        <v>1.8261816283715195</v>
      </c>
      <c r="C21" s="28">
        <f t="shared" ca="1" si="8"/>
        <v>1.8261816283715195</v>
      </c>
      <c r="D21" s="28">
        <f t="shared" ca="1" si="8"/>
        <v>1.8261816283715195</v>
      </c>
      <c r="E21" s="28">
        <f t="shared" ca="1" si="8"/>
        <v>1.8261816283715195</v>
      </c>
      <c r="F21" s="28">
        <f t="shared" ca="1" si="8"/>
        <v>1.8261816283715195</v>
      </c>
      <c r="G21" s="28">
        <f t="shared" ca="1" si="8"/>
        <v>1.8261816283715195</v>
      </c>
      <c r="H21" s="28">
        <f t="shared" ca="1" si="8"/>
        <v>1.8261816283715195</v>
      </c>
      <c r="I21" s="28">
        <f t="shared" ca="1" si="8"/>
        <v>1.8261816283715195</v>
      </c>
      <c r="J21" s="28">
        <f t="shared" ca="1" si="8"/>
        <v>1.8261816283715195</v>
      </c>
      <c r="K21" s="28">
        <f t="shared" ca="1" si="8"/>
        <v>1.8261816283715195</v>
      </c>
      <c r="L21" s="28">
        <f t="shared" ca="1" si="8"/>
        <v>1.8261816283715195</v>
      </c>
      <c r="M21" s="28">
        <f t="shared" ca="1" si="8"/>
        <v>1.8261816283715195</v>
      </c>
      <c r="N21" s="28">
        <f t="shared" ca="1" si="8"/>
        <v>1.8261816283715195</v>
      </c>
      <c r="O21" s="28">
        <f t="shared" ca="1" si="8"/>
        <v>1.8261816283715195</v>
      </c>
      <c r="P21" s="28">
        <f t="shared" ca="1" si="8"/>
        <v>1.8261816283715195</v>
      </c>
      <c r="Q21" s="28">
        <f t="shared" ca="1" si="8"/>
        <v>1.8261816283715195</v>
      </c>
      <c r="R21" s="28">
        <f t="shared" ca="1" si="8"/>
        <v>1.8261816283715195</v>
      </c>
      <c r="S21" s="28">
        <f t="shared" ca="1" si="8"/>
        <v>1.8261816283715195</v>
      </c>
      <c r="T21" s="28">
        <f t="shared" ca="1" si="8"/>
        <v>1.8261816283715195</v>
      </c>
      <c r="U21" s="28">
        <f t="shared" ca="1" si="8"/>
        <v>1.8261816283715195</v>
      </c>
      <c r="V21" s="28">
        <f t="shared" ca="1" si="8"/>
        <v>1.8261816283715195</v>
      </c>
      <c r="W21" s="28">
        <f t="shared" ca="1" si="8"/>
        <v>1.8261816283715195</v>
      </c>
      <c r="X21" s="28">
        <f t="shared" ca="1" si="8"/>
        <v>1.8261816283715195</v>
      </c>
      <c r="Y21" s="28">
        <f t="shared" ca="1" si="8"/>
        <v>1.8261816283715195</v>
      </c>
      <c r="Z21" s="28">
        <f t="shared" ca="1" si="8"/>
        <v>1.8261816283715195</v>
      </c>
      <c r="AA21" s="28">
        <f t="shared" ca="1" si="8"/>
        <v>1.8261816283715195</v>
      </c>
      <c r="AB21" s="28">
        <f t="shared" ca="1" si="8"/>
        <v>1.8261816283715195</v>
      </c>
      <c r="AC21" s="28">
        <f t="shared" ca="1" si="8"/>
        <v>1.8261816283715195</v>
      </c>
      <c r="AD21" s="28">
        <f t="shared" ca="1" si="8"/>
        <v>1.8261816283715195</v>
      </c>
      <c r="AE21" s="28">
        <f t="shared" ca="1" si="8"/>
        <v>1.8261816283715195</v>
      </c>
      <c r="AF21" s="28">
        <f t="shared" ca="1" si="8"/>
        <v>1.8261816283715195</v>
      </c>
    </row>
    <row r="22" spans="1:32" x14ac:dyDescent="0.45">
      <c r="A22" t="s">
        <v>53</v>
      </c>
      <c r="B22" s="7">
        <f t="shared" ca="1" si="0"/>
        <v>3.3291263568331542</v>
      </c>
      <c r="C22" s="28">
        <f t="shared" ref="C22" ca="1" si="9">B22*(1+$C$9)</f>
        <v>3.3291263568331542</v>
      </c>
      <c r="D22" s="28">
        <f t="shared" ref="D22" ca="1" si="10">C22*(1+$C$9)</f>
        <v>3.3291263568331542</v>
      </c>
      <c r="E22" s="28">
        <f t="shared" ref="E22" ca="1" si="11">D22*(1+$C$9)</f>
        <v>3.3291263568331542</v>
      </c>
      <c r="F22" s="28">
        <f t="shared" ref="F22" ca="1" si="12">E22*(1+$C$9)</f>
        <v>3.3291263568331542</v>
      </c>
      <c r="G22" s="28">
        <f t="shared" ref="G22" ca="1" si="13">F22*(1+$C$9)</f>
        <v>3.3291263568331542</v>
      </c>
      <c r="H22" s="28">
        <f t="shared" ref="H22" ca="1" si="14">G22*(1+$C$9)</f>
        <v>3.3291263568331542</v>
      </c>
      <c r="I22" s="28">
        <f t="shared" ref="I22" ca="1" si="15">H22*(1+$C$9)</f>
        <v>3.3291263568331542</v>
      </c>
      <c r="J22" s="28">
        <f t="shared" ref="J22" ca="1" si="16">I22*(1+$C$9)</f>
        <v>3.3291263568331542</v>
      </c>
      <c r="K22" s="28">
        <f t="shared" ref="K22" ca="1" si="17">J22*(1+$C$9)</f>
        <v>3.3291263568331542</v>
      </c>
      <c r="L22" s="28">
        <f t="shared" ref="L22" ca="1" si="18">K22*(1+$C$9)</f>
        <v>3.3291263568331542</v>
      </c>
      <c r="M22" s="28">
        <f t="shared" ref="M22" ca="1" si="19">L22*(1+$C$9)</f>
        <v>3.3291263568331542</v>
      </c>
      <c r="N22" s="28">
        <f t="shared" ref="N22" ca="1" si="20">M22*(1+$C$9)</f>
        <v>3.3291263568331542</v>
      </c>
      <c r="O22" s="28">
        <f t="shared" ref="O22" ca="1" si="21">N22*(1+$C$9)</f>
        <v>3.3291263568331542</v>
      </c>
      <c r="P22" s="28">
        <f t="shared" ref="P22" ca="1" si="22">O22*(1+$C$9)</f>
        <v>3.3291263568331542</v>
      </c>
      <c r="Q22" s="28">
        <f t="shared" ref="Q22" ca="1" si="23">P22*(1+$C$9)</f>
        <v>3.3291263568331542</v>
      </c>
      <c r="R22" s="28">
        <f t="shared" ref="R22" ca="1" si="24">Q22*(1+$C$9)</f>
        <v>3.3291263568331542</v>
      </c>
      <c r="S22" s="28">
        <f t="shared" ref="S22" ca="1" si="25">R22*(1+$C$9)</f>
        <v>3.3291263568331542</v>
      </c>
      <c r="T22" s="28">
        <f t="shared" ref="T22" ca="1" si="26">S22*(1+$C$9)</f>
        <v>3.3291263568331542</v>
      </c>
      <c r="U22" s="28">
        <f t="shared" ref="U22" ca="1" si="27">T22*(1+$C$9)</f>
        <v>3.3291263568331542</v>
      </c>
      <c r="V22" s="28">
        <f t="shared" ref="V22" ca="1" si="28">U22*(1+$C$9)</f>
        <v>3.3291263568331542</v>
      </c>
      <c r="W22" s="28">
        <f t="shared" ref="W22" ca="1" si="29">V22*(1+$C$9)</f>
        <v>3.3291263568331542</v>
      </c>
      <c r="X22" s="28">
        <f t="shared" ref="X22" ca="1" si="30">W22*(1+$C$9)</f>
        <v>3.3291263568331542</v>
      </c>
      <c r="Y22" s="28">
        <f t="shared" ref="Y22" ca="1" si="31">X22*(1+$C$9)</f>
        <v>3.3291263568331542</v>
      </c>
      <c r="Z22" s="28">
        <f t="shared" ref="Z22" ca="1" si="32">Y22*(1+$C$9)</f>
        <v>3.3291263568331542</v>
      </c>
      <c r="AA22" s="28">
        <f t="shared" ref="AA22" ca="1" si="33">Z22*(1+$C$9)</f>
        <v>3.3291263568331542</v>
      </c>
      <c r="AB22" s="28">
        <f t="shared" ref="AB22" ca="1" si="34">AA22*(1+$C$9)</f>
        <v>3.3291263568331542</v>
      </c>
      <c r="AC22" s="28">
        <f t="shared" ref="AC22" ca="1" si="35">AB22*(1+$C$9)</f>
        <v>3.3291263568331542</v>
      </c>
      <c r="AD22" s="28">
        <f t="shared" ref="AD22" ca="1" si="36">AC22*(1+$C$9)</f>
        <v>3.3291263568331542</v>
      </c>
      <c r="AE22" s="28">
        <f t="shared" ref="AE22" ca="1" si="37">AD22*(1+$C$9)</f>
        <v>3.3291263568331542</v>
      </c>
      <c r="AF22" s="28">
        <f t="shared" ref="AF22" ca="1" si="38">AE22*(1+$C$9)</f>
        <v>3.3291263568331542</v>
      </c>
    </row>
    <row r="24" spans="1:32" x14ac:dyDescent="0.45">
      <c r="B24" t="s">
        <v>348</v>
      </c>
    </row>
    <row r="25" spans="1:32" x14ac:dyDescent="0.45">
      <c r="A25" t="s">
        <v>182</v>
      </c>
      <c r="B25" s="28">
        <v>2.6362872900553809</v>
      </c>
      <c r="C25" s="28">
        <v>2.6391760546768923</v>
      </c>
      <c r="D25" s="28">
        <v>2.63978834260993</v>
      </c>
      <c r="E25" s="28">
        <v>2.6291366459831198</v>
      </c>
      <c r="F25" s="28">
        <v>2.5940819309966878</v>
      </c>
      <c r="G25" s="28">
        <v>2.6233968218608998</v>
      </c>
      <c r="H25" s="28">
        <v>2.6455610686528508</v>
      </c>
      <c r="I25" s="28">
        <v>2.6778325693400191</v>
      </c>
      <c r="J25" s="28">
        <v>2.6912475469856689</v>
      </c>
      <c r="K25" s="28">
        <v>2.7267244632610912</v>
      </c>
      <c r="L25" s="28">
        <v>2.8111314588983989</v>
      </c>
      <c r="M25" s="28">
        <v>2.8306845660347499</v>
      </c>
      <c r="N25" s="28">
        <v>2.8557025140874659</v>
      </c>
      <c r="O25" s="28">
        <v>2.9064650142883695</v>
      </c>
      <c r="P25" s="28">
        <v>2.9530384035200727</v>
      </c>
      <c r="Q25" s="28">
        <v>2.9837991776950723</v>
      </c>
      <c r="R25" s="28">
        <v>3.0194779484547927</v>
      </c>
      <c r="S25" s="28">
        <v>3.0287558097723499</v>
      </c>
      <c r="T25" s="28">
        <v>3.0619333140788094</v>
      </c>
      <c r="U25" s="28">
        <v>3.1029861452729621</v>
      </c>
      <c r="V25" s="28">
        <v>3.1140391492683173</v>
      </c>
      <c r="W25" s="28">
        <v>3.1362573119814168</v>
      </c>
      <c r="X25" s="28">
        <v>3.1846538758919416</v>
      </c>
      <c r="Y25" s="28">
        <v>3.2105013366023205</v>
      </c>
      <c r="Z25" s="28">
        <v>3.2356728669783066</v>
      </c>
      <c r="AA25" s="28">
        <v>3.2773294604253147</v>
      </c>
      <c r="AB25" s="28">
        <v>3.2875189691222833</v>
      </c>
      <c r="AC25" s="28">
        <v>3.3447555826610427</v>
      </c>
      <c r="AD25" s="28">
        <v>3.3833819572435275</v>
      </c>
      <c r="AE25" s="28">
        <v>3.4128372216307281</v>
      </c>
      <c r="AF25" s="28">
        <v>3.437942828085311</v>
      </c>
    </row>
    <row r="26" spans="1:32" x14ac:dyDescent="0.45">
      <c r="A26" t="s">
        <v>183</v>
      </c>
      <c r="B26" s="14">
        <f>1.0204*B25 + 0.30916</f>
        <v>2.9992275507725106</v>
      </c>
      <c r="C26" s="14">
        <f t="shared" ref="C26:AF26" si="39">1.0204*C25 + 0.30916</f>
        <v>3.0021752461923006</v>
      </c>
      <c r="D26" s="14">
        <f t="shared" si="39"/>
        <v>3.0028000247991722</v>
      </c>
      <c r="E26" s="14">
        <f t="shared" si="39"/>
        <v>2.9919310335611753</v>
      </c>
      <c r="F26" s="14">
        <f t="shared" si="39"/>
        <v>2.95616120238902</v>
      </c>
      <c r="G26" s="14">
        <f t="shared" si="39"/>
        <v>2.9860741170268619</v>
      </c>
      <c r="H26" s="14">
        <f t="shared" si="39"/>
        <v>3.0086905144533689</v>
      </c>
      <c r="I26" s="14">
        <f t="shared" si="39"/>
        <v>3.0416203537545554</v>
      </c>
      <c r="J26" s="14">
        <f t="shared" si="39"/>
        <v>3.0553089969441762</v>
      </c>
      <c r="K26" s="14">
        <f t="shared" si="39"/>
        <v>3.0915096423116171</v>
      </c>
      <c r="L26" s="14">
        <f t="shared" si="39"/>
        <v>3.1776385406599261</v>
      </c>
      <c r="M26" s="14">
        <f t="shared" si="39"/>
        <v>3.1975905311818584</v>
      </c>
      <c r="N26" s="14">
        <f t="shared" si="39"/>
        <v>3.22311884537485</v>
      </c>
      <c r="O26" s="14">
        <f t="shared" si="39"/>
        <v>3.2749169005798522</v>
      </c>
      <c r="P26" s="14">
        <f t="shared" si="39"/>
        <v>3.3224403869518819</v>
      </c>
      <c r="Q26" s="14">
        <f t="shared" si="39"/>
        <v>3.3538286809200515</v>
      </c>
      <c r="R26" s="14">
        <f t="shared" si="39"/>
        <v>3.3902352986032702</v>
      </c>
      <c r="S26" s="14">
        <f t="shared" si="39"/>
        <v>3.3997024282917057</v>
      </c>
      <c r="T26" s="14">
        <f t="shared" si="39"/>
        <v>3.433556753686017</v>
      </c>
      <c r="U26" s="14">
        <f t="shared" si="39"/>
        <v>3.4754470626365301</v>
      </c>
      <c r="V26" s="14">
        <f t="shared" si="39"/>
        <v>3.486725547913391</v>
      </c>
      <c r="W26" s="14">
        <f t="shared" si="39"/>
        <v>3.5093969611458373</v>
      </c>
      <c r="X26" s="14">
        <f t="shared" si="39"/>
        <v>3.5587808149601372</v>
      </c>
      <c r="Y26" s="14">
        <f t="shared" si="39"/>
        <v>3.5851555638690078</v>
      </c>
      <c r="Z26" s="14">
        <f t="shared" si="39"/>
        <v>3.6108405934646637</v>
      </c>
      <c r="AA26" s="14">
        <f t="shared" si="39"/>
        <v>3.6533469814179909</v>
      </c>
      <c r="AB26" s="14">
        <f t="shared" si="39"/>
        <v>3.6637443560923777</v>
      </c>
      <c r="AC26" s="14">
        <f t="shared" si="39"/>
        <v>3.7221485965473278</v>
      </c>
      <c r="AD26" s="14">
        <f t="shared" si="39"/>
        <v>3.7615629491712954</v>
      </c>
      <c r="AE26" s="14">
        <f t="shared" si="39"/>
        <v>3.7916191009519946</v>
      </c>
      <c r="AF26" s="14">
        <f t="shared" si="39"/>
        <v>3.8172368617782513</v>
      </c>
    </row>
    <row r="27" spans="1:32" x14ac:dyDescent="0.45">
      <c r="A27" t="s">
        <v>48</v>
      </c>
      <c r="B27" s="28">
        <v>2.5629785685743927</v>
      </c>
      <c r="C27" s="28">
        <v>2.5764641532615462</v>
      </c>
      <c r="D27" s="28">
        <v>2.6168342095611599</v>
      </c>
      <c r="E27" s="28">
        <v>2.6318613813211389</v>
      </c>
      <c r="F27" s="28">
        <v>2.6793221617717378</v>
      </c>
      <c r="G27" s="28">
        <v>2.6952952037118569</v>
      </c>
      <c r="H27" s="28">
        <v>2.7447036818039292</v>
      </c>
      <c r="I27" s="28">
        <v>2.7516051598708846</v>
      </c>
      <c r="J27" s="28">
        <v>2.7938082374095297</v>
      </c>
      <c r="K27" s="28">
        <v>2.8198760449246003</v>
      </c>
      <c r="L27" s="28">
        <v>2.8786842655368239</v>
      </c>
      <c r="M27" s="28">
        <v>2.9109531244639362</v>
      </c>
      <c r="N27" s="28">
        <v>2.9320678720335396</v>
      </c>
      <c r="O27" s="28">
        <v>2.9792417813580303</v>
      </c>
      <c r="P27" s="28">
        <v>3.0032823982699353</v>
      </c>
      <c r="Q27" s="28">
        <v>3.0301917264429252</v>
      </c>
      <c r="R27" s="28">
        <v>3.0609581443780449</v>
      </c>
      <c r="S27" s="28">
        <v>3.0817574417809315</v>
      </c>
      <c r="T27" s="28">
        <v>3.1078015935354988</v>
      </c>
      <c r="U27" s="28">
        <v>3.1345015021840292</v>
      </c>
      <c r="V27" s="28">
        <v>3.1346407949869954</v>
      </c>
      <c r="W27" s="28">
        <v>3.1546831080537632</v>
      </c>
      <c r="X27" s="28">
        <v>3.2008333353564562</v>
      </c>
      <c r="Y27" s="28">
        <v>3.220246309129823</v>
      </c>
      <c r="Z27" s="28">
        <v>3.2454334499061415</v>
      </c>
      <c r="AA27" s="28">
        <v>3.2900035444551885</v>
      </c>
      <c r="AB27" s="28">
        <v>3.2919676930570119</v>
      </c>
      <c r="AC27" s="28">
        <v>3.322702289791454</v>
      </c>
      <c r="AD27" s="28">
        <v>3.3509023579119277</v>
      </c>
      <c r="AE27" s="28">
        <v>3.3714221090688623</v>
      </c>
      <c r="AF27" s="28">
        <v>3.3903318275515133</v>
      </c>
    </row>
    <row r="28" spans="1:32" x14ac:dyDescent="0.45">
      <c r="A28" t="s">
        <v>49</v>
      </c>
      <c r="B28" s="8">
        <v>13.82</v>
      </c>
      <c r="C28" s="7">
        <v>12.938000000000001</v>
      </c>
      <c r="D28" s="7">
        <v>12.056000000000001</v>
      </c>
      <c r="E28" s="7">
        <v>11.174000000000001</v>
      </c>
      <c r="F28" s="7">
        <v>10.292000000000002</v>
      </c>
      <c r="G28" s="7">
        <v>9.4100000000000019</v>
      </c>
      <c r="H28" s="7">
        <v>8.5280000000000022</v>
      </c>
      <c r="I28" s="7">
        <v>7.6460000000000026</v>
      </c>
      <c r="J28" s="7">
        <v>6.7640000000000029</v>
      </c>
      <c r="K28" s="7">
        <v>5.8820000000000032</v>
      </c>
      <c r="L28" s="7">
        <v>5</v>
      </c>
      <c r="M28" s="7">
        <v>5</v>
      </c>
      <c r="N28" s="7">
        <v>5</v>
      </c>
      <c r="O28" s="7">
        <v>5</v>
      </c>
      <c r="P28" s="7">
        <v>5</v>
      </c>
      <c r="Q28" s="7">
        <v>5</v>
      </c>
      <c r="R28" s="7">
        <v>5</v>
      </c>
      <c r="S28" s="7">
        <v>5</v>
      </c>
      <c r="T28" s="7">
        <v>5</v>
      </c>
      <c r="U28" s="7">
        <v>5</v>
      </c>
      <c r="V28" s="7">
        <v>5</v>
      </c>
      <c r="W28" s="7">
        <v>5</v>
      </c>
      <c r="X28" s="7">
        <v>5</v>
      </c>
      <c r="Y28" s="7">
        <v>5</v>
      </c>
      <c r="Z28" s="7">
        <v>5</v>
      </c>
      <c r="AA28" s="7">
        <v>5</v>
      </c>
      <c r="AB28" s="7">
        <v>5</v>
      </c>
      <c r="AC28" s="7">
        <v>5</v>
      </c>
      <c r="AD28" s="7">
        <v>5</v>
      </c>
      <c r="AE28" s="7">
        <v>5</v>
      </c>
      <c r="AF28" s="7">
        <v>5</v>
      </c>
    </row>
    <row r="29" spans="1:32" x14ac:dyDescent="0.45">
      <c r="A29" t="s">
        <v>52</v>
      </c>
      <c r="B29" s="28">
        <v>4.0722473095117762</v>
      </c>
      <c r="C29" s="28">
        <v>4.0793051317420614</v>
      </c>
      <c r="D29" s="28">
        <v>4.1260277804169432</v>
      </c>
      <c r="E29" s="28">
        <v>4.190505098029881</v>
      </c>
      <c r="F29" s="28">
        <v>4.2491598563988369</v>
      </c>
      <c r="G29" s="28">
        <v>4.3395157354428155</v>
      </c>
      <c r="H29" s="28">
        <v>4.413944202947647</v>
      </c>
      <c r="I29" s="28">
        <v>4.4463584787578556</v>
      </c>
      <c r="J29" s="28">
        <v>4.4405978807951936</v>
      </c>
      <c r="K29" s="28">
        <v>4.4251764863868202</v>
      </c>
      <c r="L29" s="28">
        <v>4.4073035386462456</v>
      </c>
      <c r="M29" s="28">
        <v>4.4007486114666685</v>
      </c>
      <c r="N29" s="28">
        <v>4.3985104402990105</v>
      </c>
      <c r="O29" s="28">
        <v>4.4225517776909316</v>
      </c>
      <c r="P29" s="28">
        <v>4.4323498255795641</v>
      </c>
      <c r="Q29" s="28">
        <v>4.3915427981506463</v>
      </c>
      <c r="R29" s="28">
        <v>4.3590125250579677</v>
      </c>
      <c r="S29" s="28">
        <v>4.339712786727012</v>
      </c>
      <c r="T29" s="28">
        <v>4.3261186497175474</v>
      </c>
      <c r="U29" s="28">
        <v>4.3025967784166879</v>
      </c>
      <c r="V29" s="28">
        <v>4.2764291844194915</v>
      </c>
      <c r="W29" s="28">
        <v>4.2535861253730873</v>
      </c>
      <c r="X29" s="28">
        <v>4.2332855202208188</v>
      </c>
      <c r="Y29" s="28">
        <v>4.2003104707986703</v>
      </c>
      <c r="Z29" s="28">
        <v>4.1798544821230941</v>
      </c>
      <c r="AA29" s="28">
        <v>4.1639659765047741</v>
      </c>
      <c r="AB29" s="28">
        <v>4.148429185213943</v>
      </c>
      <c r="AC29" s="28">
        <v>4.1325552092759334</v>
      </c>
      <c r="AD29" s="28">
        <v>4.1136364847930906</v>
      </c>
      <c r="AE29" s="28">
        <v>4.0840960836840772</v>
      </c>
      <c r="AF29" s="28">
        <v>4.0562208319705189</v>
      </c>
    </row>
    <row r="30" spans="1:32" x14ac:dyDescent="0.45">
      <c r="A30" t="s">
        <v>411</v>
      </c>
      <c r="B30" s="9">
        <f ca="1">B25*(1-$N$9) + 'Fuel Prices'!B29*$N$9</f>
        <v>3.3489503559006213</v>
      </c>
      <c r="C30" s="5">
        <f ca="1">C25*(1-$N$9) + 'Fuel Prices'!C29*$N$9</f>
        <v>3.3539082125141775</v>
      </c>
      <c r="D30" s="5">
        <f ca="1">D25*(1-$N$9) + 'Fuel Prices'!D29*$N$9</f>
        <v>3.377404947512777</v>
      </c>
      <c r="E30" s="5">
        <f ca="1">E25*(1-$N$9) + 'Fuel Prices'!E29*$N$9</f>
        <v>3.4040395770347258</v>
      </c>
      <c r="F30" s="5">
        <f ca="1">F25*(1-$N$9) + 'Fuel Prices'!F29*$N$9</f>
        <v>3.4154926196984512</v>
      </c>
      <c r="G30" s="5">
        <f ca="1">G25*(1-$N$9) + 'Fuel Prices'!G29*$N$9</f>
        <v>3.4751019875599289</v>
      </c>
      <c r="H30" s="5">
        <f ca="1">H25*(1-$N$9) + 'Fuel Prices'!H29*$N$9</f>
        <v>3.5232048254425665</v>
      </c>
      <c r="I30" s="5">
        <f ca="1">I25*(1-$N$9) + 'Fuel Prices'!I29*$N$9</f>
        <v>3.5555471850363438</v>
      </c>
      <c r="J30" s="5">
        <f ca="1">J25*(1-$N$9) + 'Fuel Prices'!J29*$N$9</f>
        <v>3.5594453764781964</v>
      </c>
      <c r="K30" s="5">
        <f ca="1">K25*(1-$N$9) + 'Fuel Prices'!K29*$N$9</f>
        <v>3.5696615991084091</v>
      </c>
      <c r="L30" s="5">
        <f ca="1">L25*(1-$N$9) + 'Fuel Prices'!L29*$N$9</f>
        <v>3.6033073360515133</v>
      </c>
      <c r="M30" s="5">
        <f ca="1">M25*(1-$N$9) + 'Fuel Prices'!M29*$N$9</f>
        <v>3.6099030965161751</v>
      </c>
      <c r="N30" s="5">
        <f ca="1">N25*(1-$N$9) + 'Fuel Prices'!N29*$N$9</f>
        <v>3.6213939064707232</v>
      </c>
      <c r="O30" s="5">
        <f ca="1">O25*(1-$N$9) + 'Fuel Prices'!O29*$N$9</f>
        <v>3.6588947659905662</v>
      </c>
      <c r="P30" s="5">
        <f ca="1">P25*(1-$N$9) + 'Fuel Prices'!P29*$N$9</f>
        <v>3.6872166529840804</v>
      </c>
      <c r="Q30" s="5">
        <f ca="1">Q25*(1-$N$9) + 'Fuel Prices'!Q29*$N$9</f>
        <v>3.6824585211897065</v>
      </c>
      <c r="R30" s="5">
        <f ca="1">R25*(1-$N$9) + 'Fuel Prices'!R29*$N$9</f>
        <v>3.6842853283490582</v>
      </c>
      <c r="S30" s="5">
        <f ca="1">S25*(1-$N$9) + 'Fuel Prices'!S29*$N$9</f>
        <v>3.679380204413504</v>
      </c>
      <c r="T30" s="5">
        <f ca="1">T25*(1-$N$9) + 'Fuel Prices'!T29*$N$9</f>
        <v>3.6893450698977222</v>
      </c>
      <c r="U30" s="5">
        <f ca="1">U25*(1-$N$9) + 'Fuel Prices'!U29*$N$9</f>
        <v>3.6983496512572023</v>
      </c>
      <c r="V30" s="5">
        <f ca="1">V25*(1-$N$9) + 'Fuel Prices'!V29*$N$9</f>
        <v>3.6909301733459881</v>
      </c>
      <c r="W30" s="5">
        <f ca="1">W25*(1-$N$9) + 'Fuel Prices'!W29*$N$9</f>
        <v>3.6907845738270328</v>
      </c>
      <c r="X30" s="5">
        <f ca="1">X25*(1-$N$9) + 'Fuel Prices'!X29*$N$9</f>
        <v>3.7050869189182114</v>
      </c>
      <c r="Y30" s="5">
        <f ca="1">Y25*(1-$N$9) + 'Fuel Prices'!Y29*$N$9</f>
        <v>3.701740927273538</v>
      </c>
      <c r="Z30" s="5">
        <f ca="1">Z25*(1-$N$9) + 'Fuel Prices'!Z29*$N$9</f>
        <v>3.7042676436062276</v>
      </c>
      <c r="AA30" s="5">
        <f ca="1">AA25*(1-$N$9) + 'Fuel Prices'!AA29*$N$9</f>
        <v>3.7173647603487314</v>
      </c>
      <c r="AB30" s="5">
        <f ca="1">AB25*(1-$N$9) + 'Fuel Prices'!AB29*$N$9</f>
        <v>3.7147863760864652</v>
      </c>
      <c r="AC30" s="5">
        <f ca="1">AC25*(1-$N$9) + 'Fuel Prices'!AC29*$N$9</f>
        <v>3.7357384022158957</v>
      </c>
      <c r="AD30" s="5">
        <f ca="1">AD25*(1-$N$9) + 'Fuel Prices'!AD29*$N$9</f>
        <v>3.7458053000938767</v>
      </c>
      <c r="AE30" s="5">
        <f ca="1">AE25*(1-$N$9) + 'Fuel Prices'!AE29*$N$9</f>
        <v>3.7459811755883221</v>
      </c>
      <c r="AF30" s="5">
        <f ca="1">AF25*(1-$N$9) + 'Fuel Prices'!AF29*$N$9</f>
        <v>3.7447925257254391</v>
      </c>
    </row>
    <row r="31" spans="1:32" x14ac:dyDescent="0.45">
      <c r="A31" t="s">
        <v>410</v>
      </c>
      <c r="B31" s="9">
        <f ca="1">B26*(1-$N$9) + 'Fuel Prices'!B29*$N$9</f>
        <v>3.5317643488827635</v>
      </c>
      <c r="C31" s="5">
        <f ca="1">C26*(1-$N$9) + 'Fuel Prices'!C29*$N$9</f>
        <v>3.5367518890991301</v>
      </c>
      <c r="D31" s="5">
        <f ca="1">D26*(1-$N$9) + 'Fuel Prices'!D29*$N$9</f>
        <v>3.5602549156839922</v>
      </c>
      <c r="E31" s="5">
        <f ca="1">E26*(1-$N$9) + 'Fuel Prices'!E29*$N$9</f>
        <v>3.5867800933213636</v>
      </c>
      <c r="F31" s="5">
        <f ca="1">F26*(1-$N$9) + 'Fuel Prices'!F29*$N$9</f>
        <v>3.5978729300241965</v>
      </c>
      <c r="G31" s="5">
        <f ca="1">G26*(1-$N$9) + 'Fuel Prices'!G29*$N$9</f>
        <v>3.6577835240812457</v>
      </c>
      <c r="H31" s="5">
        <f ca="1">H26*(1-$N$9) + 'Fuel Prices'!H29*$N$9</f>
        <v>3.7061141114639504</v>
      </c>
      <c r="I31" s="5">
        <f ca="1">I26*(1-$N$9) + 'Fuel Prices'!I29*$N$9</f>
        <v>3.7387880780018712</v>
      </c>
      <c r="J31" s="5">
        <f ca="1">J26*(1-$N$9) + 'Fuel Prices'!J29*$N$9</f>
        <v>3.742824115519924</v>
      </c>
      <c r="K31" s="5">
        <f ca="1">K26*(1-$N$9) + 'Fuel Prices'!K29*$N$9</f>
        <v>3.753404882455273</v>
      </c>
      <c r="L31" s="5">
        <f ca="1">L26*(1-$N$9) + 'Fuel Prices'!L29*$N$9</f>
        <v>3.7879179464606958</v>
      </c>
      <c r="M31" s="5">
        <f ca="1">M26*(1-$N$9) + 'Fuel Prices'!M29*$N$9</f>
        <v>3.7947146255677491</v>
      </c>
      <c r="N31" s="5">
        <f ca="1">N26*(1-$N$9) + 'Fuel Prices'!N29*$N$9</f>
        <v>3.806462508330374</v>
      </c>
      <c r="O31" s="5">
        <f ca="1">O26*(1-$N$9) + 'Fuel Prices'!O29*$N$9</f>
        <v>3.8444849797123943</v>
      </c>
      <c r="P31" s="5">
        <f ca="1">P26*(1-$N$9) + 'Fuel Prices'!P29*$N$9</f>
        <v>3.8732854332104925</v>
      </c>
      <c r="Q31" s="5">
        <f ca="1">Q26*(1-$N$9) + 'Fuel Prices'!Q29*$N$9</f>
        <v>3.8688433848366737</v>
      </c>
      <c r="R31" s="5">
        <f ca="1">R26*(1-$N$9) + 'Fuel Prices'!R29*$N$9</f>
        <v>3.8710368104640382</v>
      </c>
      <c r="S31" s="5">
        <f ca="1">S26*(1-$N$9) + 'Fuel Prices'!S29*$N$9</f>
        <v>3.8662270215198604</v>
      </c>
      <c r="T31" s="5">
        <f ca="1">T26*(1-$N$9) + 'Fuel Prices'!T29*$N$9</f>
        <v>3.8765328036203841</v>
      </c>
      <c r="U31" s="5">
        <f ca="1">U26*(1-$N$9) + 'Fuel Prices'!U29*$N$9</f>
        <v>3.885959224795517</v>
      </c>
      <c r="V31" s="5">
        <f ca="1">V26*(1-$N$9) + 'Fuel Prices'!V29*$N$9</f>
        <v>3.8786533224169082</v>
      </c>
      <c r="W31" s="5">
        <f ca="1">W26*(1-$N$9) + 'Fuel Prices'!W29*$N$9</f>
        <v>3.8787360264129704</v>
      </c>
      <c r="X31" s="5">
        <f ca="1">X26*(1-$N$9) + 'Fuel Prices'!X29*$N$9</f>
        <v>3.8935356721044831</v>
      </c>
      <c r="Y31" s="5">
        <f ca="1">Y26*(1-$N$9) + 'Fuel Prices'!Y29*$N$9</f>
        <v>3.8904552769544729</v>
      </c>
      <c r="Z31" s="5">
        <f ca="1">Z26*(1-$N$9) + 'Fuel Prices'!Z29*$N$9</f>
        <v>3.8932406442358216</v>
      </c>
      <c r="AA31" s="5">
        <f ca="1">AA26*(1-$N$9) + 'Fuel Prices'!AA29*$N$9</f>
        <v>3.9067658047743139</v>
      </c>
      <c r="AB31" s="5">
        <f ca="1">AB26*(1-$N$9) + 'Fuel Prices'!AB29*$N$9</f>
        <v>3.9042921231682426</v>
      </c>
      <c r="AC31" s="5">
        <f ca="1">AC26*(1-$N$9) + 'Fuel Prices'!AC29*$N$9</f>
        <v>3.9258322861399195</v>
      </c>
      <c r="AD31" s="5">
        <f ca="1">AD26*(1-$N$9) + 'Fuel Prices'!AD29*$N$9</f>
        <v>3.9362960906930127</v>
      </c>
      <c r="AE31" s="5">
        <f ca="1">AE26*(1-$N$9) + 'Fuel Prices'!AE29*$N$9</f>
        <v>3.9367746347961181</v>
      </c>
      <c r="AF31" s="5">
        <f ca="1">AF26*(1-$N$9) + 'Fuel Prices'!AF29*$N$9</f>
        <v>3.9358439584783138</v>
      </c>
    </row>
    <row r="32" spans="1:32" x14ac:dyDescent="0.45">
      <c r="A32" t="s">
        <v>412</v>
      </c>
      <c r="B32" s="9">
        <f ca="1">B27*(1-$N$9) + 'Fuel Prices'!B29*$N$9</f>
        <v>3.3120245542056681</v>
      </c>
      <c r="C32" s="5">
        <f ca="1">C27*(1-$N$9) + 'Fuel Prices'!C29*$N$9</f>
        <v>3.3223200578063228</v>
      </c>
      <c r="D32" s="5">
        <f ca="1">D27*(1-$N$9) + 'Fuel Prices'!D29*$N$9</f>
        <v>3.365842888484667</v>
      </c>
      <c r="E32" s="5">
        <f ca="1">E27*(1-$N$9) + 'Fuel Prices'!E29*$N$9</f>
        <v>3.4054120336092004</v>
      </c>
      <c r="F32" s="5">
        <f ca="1">F27*(1-$N$9) + 'Fuel Prices'!F29*$N$9</f>
        <v>3.4584283549621988</v>
      </c>
      <c r="G32" s="5">
        <f ca="1">G27*(1-$N$9) + 'Fuel Prices'!G29*$N$9</f>
        <v>3.5113173973608616</v>
      </c>
      <c r="H32" s="5">
        <f ca="1">H27*(1-$N$9) + 'Fuel Prices'!H29*$N$9</f>
        <v>3.5731432283880551</v>
      </c>
      <c r="I32" s="5">
        <f ca="1">I27*(1-$N$9) + 'Fuel Prices'!I29*$N$9</f>
        <v>3.5927066388289211</v>
      </c>
      <c r="J32" s="5">
        <f ca="1">J27*(1-$N$9) + 'Fuel Prices'!J29*$N$9</f>
        <v>3.6111054742098294</v>
      </c>
      <c r="K32" s="5">
        <f ca="1">K27*(1-$N$9) + 'Fuel Prices'!K29*$N$9</f>
        <v>3.6165823032564139</v>
      </c>
      <c r="L32" s="5">
        <f ca="1">L27*(1-$N$9) + 'Fuel Prices'!L29*$N$9</f>
        <v>3.6373338678402973</v>
      </c>
      <c r="M32" s="5">
        <f ca="1">M27*(1-$N$9) + 'Fuel Prices'!M29*$N$9</f>
        <v>3.6503345869448349</v>
      </c>
      <c r="N32" s="5">
        <f ca="1">N27*(1-$N$9) + 'Fuel Prices'!N29*$N$9</f>
        <v>3.6598593442373892</v>
      </c>
      <c r="O32" s="5">
        <f ca="1">O27*(1-$N$9) + 'Fuel Prices'!O29*$N$9</f>
        <v>3.6955526208068035</v>
      </c>
      <c r="P32" s="5">
        <f ca="1">P27*(1-$N$9) + 'Fuel Prices'!P29*$N$9</f>
        <v>3.7125246893133843</v>
      </c>
      <c r="Q32" s="5">
        <f ca="1">Q27*(1-$N$9) + 'Fuel Prices'!Q29*$N$9</f>
        <v>3.705826573729416</v>
      </c>
      <c r="R32" s="5">
        <f ca="1">R27*(1-$N$9) + 'Fuel Prices'!R29*$N$9</f>
        <v>3.7051790154573103</v>
      </c>
      <c r="S32" s="5">
        <f ca="1">S27*(1-$N$9) + 'Fuel Prices'!S29*$N$9</f>
        <v>3.7060772701039117</v>
      </c>
      <c r="T32" s="5">
        <f ca="1">T27*(1-$N$9) + 'Fuel Prices'!T29*$N$9</f>
        <v>3.7124490465745712</v>
      </c>
      <c r="U32" s="5">
        <f ca="1">U27*(1-$N$9) + 'Fuel Prices'!U29*$N$9</f>
        <v>3.71422402194781</v>
      </c>
      <c r="V32" s="5">
        <f ca="1">V27*(1-$N$9) + 'Fuel Prices'!V29*$N$9</f>
        <v>3.7013072781301015</v>
      </c>
      <c r="W32" s="5">
        <f ca="1">W27*(1-$N$9) + 'Fuel Prices'!W29*$N$9</f>
        <v>3.7000656972471915</v>
      </c>
      <c r="X32" s="5">
        <f ca="1">X27*(1-$N$9) + 'Fuel Prices'!X29*$N$9</f>
        <v>3.7132365565008709</v>
      </c>
      <c r="Y32" s="5">
        <f ca="1">Y27*(1-$N$9) + 'Fuel Prices'!Y29*$N$9</f>
        <v>3.7066494963469552</v>
      </c>
      <c r="Z32" s="5">
        <f ca="1">Z27*(1-$N$9) + 'Fuel Prices'!Z29*$N$9</f>
        <v>3.7091840756806</v>
      </c>
      <c r="AA32" s="5">
        <f ca="1">AA27*(1-$N$9) + 'Fuel Prices'!AA29*$N$9</f>
        <v>3.7237487308245178</v>
      </c>
      <c r="AB32" s="5">
        <f ca="1">AB27*(1-$N$9) + 'Fuel Prices'!AB29*$N$9</f>
        <v>3.717027210389543</v>
      </c>
      <c r="AC32" s="5">
        <f ca="1">AC27*(1-$N$9) + 'Fuel Prices'!AC29*$N$9</f>
        <v>3.724630098827542</v>
      </c>
      <c r="AD32" s="5">
        <f ca="1">AD27*(1-$N$9) + 'Fuel Prices'!AD29*$N$9</f>
        <v>3.7294452378827083</v>
      </c>
      <c r="AE32" s="5">
        <f ca="1">AE27*(1-$N$9) + 'Fuel Prices'!AE29*$N$9</f>
        <v>3.7251202711455917</v>
      </c>
      <c r="AF32" s="5">
        <f ca="1">AF27*(1-$N$9) + 'Fuel Prices'!AF29*$N$9</f>
        <v>3.7208107357188402</v>
      </c>
    </row>
    <row r="33" spans="1:32" x14ac:dyDescent="0.45">
      <c r="A33" t="s">
        <v>51</v>
      </c>
      <c r="B33" s="28">
        <v>2.0473234568289755</v>
      </c>
      <c r="C33" s="28">
        <v>1.9506561479989695</v>
      </c>
      <c r="D33" s="28">
        <v>1.9132451840051998</v>
      </c>
      <c r="E33" s="28">
        <v>1.914924542938216</v>
      </c>
      <c r="F33" s="28">
        <v>1.8955878759358591</v>
      </c>
      <c r="G33" s="28">
        <v>1.8969783013031376</v>
      </c>
      <c r="H33" s="28">
        <v>1.890046361291869</v>
      </c>
      <c r="I33" s="28">
        <v>1.8713599874347979</v>
      </c>
      <c r="J33" s="28">
        <v>1.8403730567682062</v>
      </c>
      <c r="K33" s="28">
        <v>1.7989661800847638</v>
      </c>
      <c r="L33" s="28">
        <v>1.8641253991445388</v>
      </c>
      <c r="M33" s="28">
        <v>1.8221774847281345</v>
      </c>
      <c r="N33" s="28">
        <v>1.7960210609869656</v>
      </c>
      <c r="O33" s="28">
        <v>1.7955407378272839</v>
      </c>
      <c r="P33" s="28">
        <v>1.7817856509233652</v>
      </c>
      <c r="Q33" s="28">
        <v>1.7652232084457919</v>
      </c>
      <c r="R33" s="28">
        <v>1.75154547868854</v>
      </c>
      <c r="S33" s="28">
        <v>1.7482200459692805</v>
      </c>
      <c r="T33" s="28">
        <v>1.7429472780659017</v>
      </c>
      <c r="U33" s="28">
        <v>1.7366656311999193</v>
      </c>
      <c r="V33" s="28">
        <v>1.7293094596651972</v>
      </c>
      <c r="W33" s="28">
        <v>1.7219109112075006</v>
      </c>
      <c r="X33" s="28">
        <v>1.7197752683874716</v>
      </c>
      <c r="Y33" s="28">
        <v>1.7170879550792617</v>
      </c>
      <c r="Z33" s="28">
        <v>1.7157508475859804</v>
      </c>
      <c r="AA33" s="28">
        <v>1.7147378079800295</v>
      </c>
      <c r="AB33" s="28">
        <v>1.7185773112994491</v>
      </c>
      <c r="AC33" s="28">
        <v>1.7244317987818458</v>
      </c>
      <c r="AD33" s="28">
        <v>1.7274166751382896</v>
      </c>
      <c r="AE33" s="28">
        <v>1.730755206179196</v>
      </c>
      <c r="AF33" s="28">
        <v>1.7378323064138914</v>
      </c>
    </row>
    <row r="34" spans="1:32" x14ac:dyDescent="0.45">
      <c r="A34" t="s">
        <v>53</v>
      </c>
      <c r="B34" s="8">
        <v>3.6362872900553809</v>
      </c>
      <c r="C34" s="7">
        <v>3.5725093880102259</v>
      </c>
      <c r="D34" s="7">
        <v>3.5064550092765967</v>
      </c>
      <c r="E34" s="7">
        <v>3.4291366459831201</v>
      </c>
      <c r="F34" s="7">
        <v>3.3274152643300212</v>
      </c>
      <c r="G34" s="7">
        <v>3.2900634885275664</v>
      </c>
      <c r="H34" s="7">
        <v>3.2455610686528509</v>
      </c>
      <c r="I34" s="7">
        <v>3.2111659026733523</v>
      </c>
      <c r="J34" s="7">
        <v>3.1579142136523357</v>
      </c>
      <c r="K34" s="7">
        <v>3.1267244632610911</v>
      </c>
      <c r="L34" s="7">
        <v>3.1444647922317324</v>
      </c>
      <c r="M34" s="7">
        <v>3.0973512327014165</v>
      </c>
      <c r="N34" s="7">
        <v>3.0557025140874661</v>
      </c>
      <c r="O34" s="7">
        <v>3.0397983476217028</v>
      </c>
      <c r="P34" s="7">
        <v>3.0197050701867396</v>
      </c>
      <c r="Q34" s="7">
        <v>2.9837991776950723</v>
      </c>
      <c r="R34" s="7">
        <v>3.0194779484547927</v>
      </c>
      <c r="S34" s="7">
        <v>3.0287558097723499</v>
      </c>
      <c r="T34" s="7">
        <v>3.0619333140788094</v>
      </c>
      <c r="U34" s="7">
        <v>3.1029861452729621</v>
      </c>
      <c r="V34" s="7">
        <v>3.1140391492683173</v>
      </c>
      <c r="W34" s="7">
        <v>3.1362573119814168</v>
      </c>
      <c r="X34" s="7">
        <v>3.1846538758919416</v>
      </c>
      <c r="Y34" s="7">
        <v>3.2105013366023205</v>
      </c>
      <c r="Z34" s="7">
        <v>3.2356728669783066</v>
      </c>
      <c r="AA34" s="7">
        <v>3.2773294604253147</v>
      </c>
      <c r="AB34" s="7">
        <v>3.2875189691222833</v>
      </c>
      <c r="AC34" s="7">
        <v>3.3447555826610427</v>
      </c>
      <c r="AD34" s="7">
        <v>3.3833819572435275</v>
      </c>
      <c r="AE34" s="7">
        <v>3.4128372216307281</v>
      </c>
      <c r="AF34" s="7">
        <v>3.437942828085311</v>
      </c>
    </row>
    <row r="36" spans="1:32" x14ac:dyDescent="0.45">
      <c r="B36" t="s">
        <v>329</v>
      </c>
    </row>
    <row r="37" spans="1:32" x14ac:dyDescent="0.45">
      <c r="A37" t="s">
        <v>182</v>
      </c>
      <c r="B37" s="7">
        <f t="shared" ref="B37:B39" ca="1" si="40">IF($I$1="LDV", OFFSET(A74,0,MATCH($F$1,$B$62:$H$62,0)),  IF($I$1="HDV", OFFSET(J74,0,MATCH($F$1,$B$62:$H$62,0)),  0))</f>
        <v>2.4432602706778814</v>
      </c>
      <c r="C37" s="28">
        <f t="shared" ref="C37:C44" ca="1" si="41">B37*(1+$C$9)</f>
        <v>2.4432602706778814</v>
      </c>
      <c r="D37" s="28">
        <f t="shared" ref="D37:D44" ca="1" si="42">C37*(1+$C$9)</f>
        <v>2.4432602706778814</v>
      </c>
      <c r="E37" s="28">
        <f t="shared" ref="E37:E44" ca="1" si="43">D37*(1+$C$9)</f>
        <v>2.4432602706778814</v>
      </c>
      <c r="F37" s="28">
        <f t="shared" ref="F37:F44" ca="1" si="44">E37*(1+$C$9)</f>
        <v>2.4432602706778814</v>
      </c>
      <c r="G37" s="28">
        <f t="shared" ref="G37:G44" ca="1" si="45">F37*(1+$C$9)</f>
        <v>2.4432602706778814</v>
      </c>
      <c r="H37" s="28">
        <f t="shared" ref="H37:H44" ca="1" si="46">G37*(1+$C$9)</f>
        <v>2.4432602706778814</v>
      </c>
      <c r="I37" s="28">
        <f t="shared" ref="I37:I44" ca="1" si="47">H37*(1+$C$9)</f>
        <v>2.4432602706778814</v>
      </c>
      <c r="J37" s="28">
        <f t="shared" ref="J37:J44" ca="1" si="48">I37*(1+$C$9)</f>
        <v>2.4432602706778814</v>
      </c>
      <c r="K37" s="28">
        <f t="shared" ref="K37:K44" ca="1" si="49">J37*(1+$C$9)</f>
        <v>2.4432602706778814</v>
      </c>
      <c r="L37" s="28">
        <f t="shared" ref="L37:L44" ca="1" si="50">K37*(1+$C$9)</f>
        <v>2.4432602706778814</v>
      </c>
      <c r="M37" s="28">
        <f t="shared" ref="M37:M44" ca="1" si="51">L37*(1+$C$9)</f>
        <v>2.4432602706778814</v>
      </c>
      <c r="N37" s="28">
        <f t="shared" ref="N37:N44" ca="1" si="52">M37*(1+$C$9)</f>
        <v>2.4432602706778814</v>
      </c>
      <c r="O37" s="28">
        <f t="shared" ref="O37:O44" ca="1" si="53">N37*(1+$C$9)</f>
        <v>2.4432602706778814</v>
      </c>
      <c r="P37" s="28">
        <f t="shared" ref="P37:P44" ca="1" si="54">O37*(1+$C$9)</f>
        <v>2.4432602706778814</v>
      </c>
      <c r="Q37" s="28">
        <f t="shared" ref="Q37:Q44" ca="1" si="55">P37*(1+$C$9)</f>
        <v>2.4432602706778814</v>
      </c>
      <c r="R37" s="28">
        <f t="shared" ref="R37:R44" ca="1" si="56">Q37*(1+$C$9)</f>
        <v>2.4432602706778814</v>
      </c>
      <c r="S37" s="28">
        <f t="shared" ref="S37:S44" ca="1" si="57">R37*(1+$C$9)</f>
        <v>2.4432602706778814</v>
      </c>
      <c r="T37" s="28">
        <f t="shared" ref="T37:T44" ca="1" si="58">S37*(1+$C$9)</f>
        <v>2.4432602706778814</v>
      </c>
      <c r="U37" s="28">
        <f t="shared" ref="U37:U44" ca="1" si="59">T37*(1+$C$9)</f>
        <v>2.4432602706778814</v>
      </c>
      <c r="V37" s="28">
        <f t="shared" ref="V37:V44" ca="1" si="60">U37*(1+$C$9)</f>
        <v>2.4432602706778814</v>
      </c>
      <c r="W37" s="28">
        <f t="shared" ref="W37:W44" ca="1" si="61">V37*(1+$C$9)</f>
        <v>2.4432602706778814</v>
      </c>
      <c r="X37" s="28">
        <f t="shared" ref="X37:X44" ca="1" si="62">W37*(1+$C$9)</f>
        <v>2.4432602706778814</v>
      </c>
      <c r="Y37" s="28">
        <f t="shared" ref="Y37:Y44" ca="1" si="63">X37*(1+$C$9)</f>
        <v>2.4432602706778814</v>
      </c>
      <c r="Z37" s="28">
        <f t="shared" ref="Z37:Z44" ca="1" si="64">Y37*(1+$C$9)</f>
        <v>2.4432602706778814</v>
      </c>
      <c r="AA37" s="28">
        <f t="shared" ref="AA37:AA44" ca="1" si="65">Z37*(1+$C$9)</f>
        <v>2.4432602706778814</v>
      </c>
      <c r="AB37" s="28">
        <f t="shared" ref="AB37:AB44" ca="1" si="66">AA37*(1+$C$9)</f>
        <v>2.4432602706778814</v>
      </c>
      <c r="AC37" s="28">
        <f t="shared" ref="AC37:AC44" ca="1" si="67">AB37*(1+$C$9)</f>
        <v>2.4432602706778814</v>
      </c>
      <c r="AD37" s="28">
        <f t="shared" ref="AD37:AD44" ca="1" si="68">AC37*(1+$C$9)</f>
        <v>2.4432602706778814</v>
      </c>
      <c r="AE37" s="28">
        <f t="shared" ref="AE37:AE44" ca="1" si="69">AD37*(1+$C$9)</f>
        <v>2.4432602706778814</v>
      </c>
      <c r="AF37" s="28">
        <f t="shared" ref="AF37:AF44" ca="1" si="70">AE37*(1+$C$9)</f>
        <v>2.4432602706778814</v>
      </c>
    </row>
    <row r="38" spans="1:32" x14ac:dyDescent="0.45">
      <c r="A38" t="s">
        <v>183</v>
      </c>
      <c r="B38" s="7">
        <f t="shared" ca="1" si="40"/>
        <v>2.8469915999865187</v>
      </c>
      <c r="C38" s="28">
        <f t="shared" ca="1" si="41"/>
        <v>2.8469915999865187</v>
      </c>
      <c r="D38" s="28">
        <f t="shared" ca="1" si="42"/>
        <v>2.8469915999865187</v>
      </c>
      <c r="E38" s="28">
        <f t="shared" ca="1" si="43"/>
        <v>2.8469915999865187</v>
      </c>
      <c r="F38" s="28">
        <f t="shared" ca="1" si="44"/>
        <v>2.8469915999865187</v>
      </c>
      <c r="G38" s="28">
        <f t="shared" ca="1" si="45"/>
        <v>2.8469915999865187</v>
      </c>
      <c r="H38" s="28">
        <f t="shared" ca="1" si="46"/>
        <v>2.8469915999865187</v>
      </c>
      <c r="I38" s="28">
        <f t="shared" ca="1" si="47"/>
        <v>2.8469915999865187</v>
      </c>
      <c r="J38" s="28">
        <f t="shared" ca="1" si="48"/>
        <v>2.8469915999865187</v>
      </c>
      <c r="K38" s="28">
        <f t="shared" ca="1" si="49"/>
        <v>2.8469915999865187</v>
      </c>
      <c r="L38" s="28">
        <f t="shared" ca="1" si="50"/>
        <v>2.8469915999865187</v>
      </c>
      <c r="M38" s="28">
        <f t="shared" ca="1" si="51"/>
        <v>2.8469915999865187</v>
      </c>
      <c r="N38" s="28">
        <f t="shared" ca="1" si="52"/>
        <v>2.8469915999865187</v>
      </c>
      <c r="O38" s="28">
        <f t="shared" ca="1" si="53"/>
        <v>2.8469915999865187</v>
      </c>
      <c r="P38" s="28">
        <f t="shared" ca="1" si="54"/>
        <v>2.8469915999865187</v>
      </c>
      <c r="Q38" s="28">
        <f t="shared" ca="1" si="55"/>
        <v>2.8469915999865187</v>
      </c>
      <c r="R38" s="28">
        <f t="shared" ca="1" si="56"/>
        <v>2.8469915999865187</v>
      </c>
      <c r="S38" s="28">
        <f t="shared" ca="1" si="57"/>
        <v>2.8469915999865187</v>
      </c>
      <c r="T38" s="28">
        <f t="shared" ca="1" si="58"/>
        <v>2.8469915999865187</v>
      </c>
      <c r="U38" s="28">
        <f t="shared" ca="1" si="59"/>
        <v>2.8469915999865187</v>
      </c>
      <c r="V38" s="28">
        <f t="shared" ca="1" si="60"/>
        <v>2.8469915999865187</v>
      </c>
      <c r="W38" s="28">
        <f t="shared" ca="1" si="61"/>
        <v>2.8469915999865187</v>
      </c>
      <c r="X38" s="28">
        <f t="shared" ca="1" si="62"/>
        <v>2.8469915999865187</v>
      </c>
      <c r="Y38" s="28">
        <f t="shared" ca="1" si="63"/>
        <v>2.8469915999865187</v>
      </c>
      <c r="Z38" s="28">
        <f t="shared" ca="1" si="64"/>
        <v>2.8469915999865187</v>
      </c>
      <c r="AA38" s="28">
        <f t="shared" ca="1" si="65"/>
        <v>2.8469915999865187</v>
      </c>
      <c r="AB38" s="28">
        <f t="shared" ca="1" si="66"/>
        <v>2.8469915999865187</v>
      </c>
      <c r="AC38" s="28">
        <f t="shared" ca="1" si="67"/>
        <v>2.8469915999865187</v>
      </c>
      <c r="AD38" s="28">
        <f t="shared" ca="1" si="68"/>
        <v>2.8469915999865187</v>
      </c>
      <c r="AE38" s="28">
        <f t="shared" ca="1" si="69"/>
        <v>2.8469915999865187</v>
      </c>
      <c r="AF38" s="28">
        <f t="shared" ca="1" si="70"/>
        <v>2.8469915999865187</v>
      </c>
    </row>
    <row r="39" spans="1:32" x14ac:dyDescent="0.45">
      <c r="A39" t="s">
        <v>48</v>
      </c>
      <c r="B39" s="7">
        <f t="shared" ca="1" si="40"/>
        <v>2.3350270000000002</v>
      </c>
      <c r="C39" s="28">
        <f t="shared" ca="1" si="41"/>
        <v>2.3350270000000002</v>
      </c>
      <c r="D39" s="28">
        <f t="shared" ca="1" si="42"/>
        <v>2.3350270000000002</v>
      </c>
      <c r="E39" s="28">
        <f t="shared" ca="1" si="43"/>
        <v>2.3350270000000002</v>
      </c>
      <c r="F39" s="28">
        <f t="shared" ca="1" si="44"/>
        <v>2.3350270000000002</v>
      </c>
      <c r="G39" s="28">
        <f t="shared" ca="1" si="45"/>
        <v>2.3350270000000002</v>
      </c>
      <c r="H39" s="28">
        <f t="shared" ca="1" si="46"/>
        <v>2.3350270000000002</v>
      </c>
      <c r="I39" s="28">
        <f t="shared" ca="1" si="47"/>
        <v>2.3350270000000002</v>
      </c>
      <c r="J39" s="28">
        <f t="shared" ca="1" si="48"/>
        <v>2.3350270000000002</v>
      </c>
      <c r="K39" s="28">
        <f t="shared" ca="1" si="49"/>
        <v>2.3350270000000002</v>
      </c>
      <c r="L39" s="28">
        <f t="shared" ca="1" si="50"/>
        <v>2.3350270000000002</v>
      </c>
      <c r="M39" s="28">
        <f t="shared" ca="1" si="51"/>
        <v>2.3350270000000002</v>
      </c>
      <c r="N39" s="28">
        <f t="shared" ca="1" si="52"/>
        <v>2.3350270000000002</v>
      </c>
      <c r="O39" s="28">
        <f t="shared" ca="1" si="53"/>
        <v>2.3350270000000002</v>
      </c>
      <c r="P39" s="28">
        <f t="shared" ca="1" si="54"/>
        <v>2.3350270000000002</v>
      </c>
      <c r="Q39" s="28">
        <f t="shared" ca="1" si="55"/>
        <v>2.3350270000000002</v>
      </c>
      <c r="R39" s="28">
        <f t="shared" ca="1" si="56"/>
        <v>2.3350270000000002</v>
      </c>
      <c r="S39" s="28">
        <f t="shared" ca="1" si="57"/>
        <v>2.3350270000000002</v>
      </c>
      <c r="T39" s="28">
        <f t="shared" ca="1" si="58"/>
        <v>2.3350270000000002</v>
      </c>
      <c r="U39" s="28">
        <f t="shared" ca="1" si="59"/>
        <v>2.3350270000000002</v>
      </c>
      <c r="V39" s="28">
        <f t="shared" ca="1" si="60"/>
        <v>2.3350270000000002</v>
      </c>
      <c r="W39" s="28">
        <f t="shared" ca="1" si="61"/>
        <v>2.3350270000000002</v>
      </c>
      <c r="X39" s="28">
        <f t="shared" ca="1" si="62"/>
        <v>2.3350270000000002</v>
      </c>
      <c r="Y39" s="28">
        <f t="shared" ca="1" si="63"/>
        <v>2.3350270000000002</v>
      </c>
      <c r="Z39" s="28">
        <f t="shared" ca="1" si="64"/>
        <v>2.3350270000000002</v>
      </c>
      <c r="AA39" s="28">
        <f t="shared" ca="1" si="65"/>
        <v>2.3350270000000002</v>
      </c>
      <c r="AB39" s="28">
        <f t="shared" ca="1" si="66"/>
        <v>2.3350270000000002</v>
      </c>
      <c r="AC39" s="28">
        <f t="shared" ca="1" si="67"/>
        <v>2.3350270000000002</v>
      </c>
      <c r="AD39" s="28">
        <f t="shared" ca="1" si="68"/>
        <v>2.3350270000000002</v>
      </c>
      <c r="AE39" s="28">
        <f t="shared" ca="1" si="69"/>
        <v>2.3350270000000002</v>
      </c>
      <c r="AF39" s="28">
        <f t="shared" ca="1" si="70"/>
        <v>2.3350270000000002</v>
      </c>
    </row>
    <row r="40" spans="1:32" x14ac:dyDescent="0.45">
      <c r="A40" t="s">
        <v>49</v>
      </c>
      <c r="B40" s="7">
        <f ca="1">IF($I$1="LDV", OFFSET(A77,0,MATCH($F$1,$B$62:$H$62,0)),  IF($I$1="HDV", OFFSET(J82,0,MATCH($F$1,$B$62:$H$62,0)),  0))</f>
        <v>1.8261816283715195</v>
      </c>
      <c r="C40" s="28">
        <f t="shared" ca="1" si="41"/>
        <v>1.8261816283715195</v>
      </c>
      <c r="D40" s="28">
        <f t="shared" ca="1" si="42"/>
        <v>1.8261816283715195</v>
      </c>
      <c r="E40" s="28">
        <f t="shared" ca="1" si="43"/>
        <v>1.8261816283715195</v>
      </c>
      <c r="F40" s="28">
        <f t="shared" ca="1" si="44"/>
        <v>1.8261816283715195</v>
      </c>
      <c r="G40" s="28">
        <f t="shared" ca="1" si="45"/>
        <v>1.8261816283715195</v>
      </c>
      <c r="H40" s="28">
        <f t="shared" ca="1" si="46"/>
        <v>1.8261816283715195</v>
      </c>
      <c r="I40" s="28">
        <f t="shared" ca="1" si="47"/>
        <v>1.8261816283715195</v>
      </c>
      <c r="J40" s="28">
        <f t="shared" ca="1" si="48"/>
        <v>1.8261816283715195</v>
      </c>
      <c r="K40" s="28">
        <f t="shared" ca="1" si="49"/>
        <v>1.8261816283715195</v>
      </c>
      <c r="L40" s="28">
        <f t="shared" ca="1" si="50"/>
        <v>1.8261816283715195</v>
      </c>
      <c r="M40" s="28">
        <f t="shared" ca="1" si="51"/>
        <v>1.8261816283715195</v>
      </c>
      <c r="N40" s="28">
        <f t="shared" ca="1" si="52"/>
        <v>1.8261816283715195</v>
      </c>
      <c r="O40" s="28">
        <f t="shared" ca="1" si="53"/>
        <v>1.8261816283715195</v>
      </c>
      <c r="P40" s="28">
        <f t="shared" ca="1" si="54"/>
        <v>1.8261816283715195</v>
      </c>
      <c r="Q40" s="28">
        <f t="shared" ca="1" si="55"/>
        <v>1.8261816283715195</v>
      </c>
      <c r="R40" s="28">
        <f t="shared" ca="1" si="56"/>
        <v>1.8261816283715195</v>
      </c>
      <c r="S40" s="28">
        <f t="shared" ca="1" si="57"/>
        <v>1.8261816283715195</v>
      </c>
      <c r="T40" s="28">
        <f t="shared" ca="1" si="58"/>
        <v>1.8261816283715195</v>
      </c>
      <c r="U40" s="28">
        <f t="shared" ca="1" si="59"/>
        <v>1.8261816283715195</v>
      </c>
      <c r="V40" s="28">
        <f t="shared" ca="1" si="60"/>
        <v>1.8261816283715195</v>
      </c>
      <c r="W40" s="28">
        <f t="shared" ca="1" si="61"/>
        <v>1.8261816283715195</v>
      </c>
      <c r="X40" s="28">
        <f t="shared" ca="1" si="62"/>
        <v>1.8261816283715195</v>
      </c>
      <c r="Y40" s="28">
        <f t="shared" ca="1" si="63"/>
        <v>1.8261816283715195</v>
      </c>
      <c r="Z40" s="28">
        <f t="shared" ca="1" si="64"/>
        <v>1.8261816283715195</v>
      </c>
      <c r="AA40" s="28">
        <f t="shared" ca="1" si="65"/>
        <v>1.8261816283715195</v>
      </c>
      <c r="AB40" s="28">
        <f t="shared" ca="1" si="66"/>
        <v>1.8261816283715195</v>
      </c>
      <c r="AC40" s="28">
        <f t="shared" ca="1" si="67"/>
        <v>1.8261816283715195</v>
      </c>
      <c r="AD40" s="28">
        <f t="shared" ca="1" si="68"/>
        <v>1.8261816283715195</v>
      </c>
      <c r="AE40" s="28">
        <f t="shared" ca="1" si="69"/>
        <v>1.8261816283715195</v>
      </c>
      <c r="AF40" s="28">
        <f t="shared" ca="1" si="70"/>
        <v>1.8261816283715195</v>
      </c>
    </row>
    <row r="41" spans="1:32" x14ac:dyDescent="0.45">
      <c r="A41" t="s">
        <v>52</v>
      </c>
      <c r="B41" s="7">
        <f ca="1">IF($I$1="LDV", OFFSET(A78,0,MATCH($F$1,$B$62:$H$62,0)),  IF($I$1="HDV", OFFSET(J83,0,MATCH($F$1,$B$62:$H$62,0)),  0))</f>
        <v>3.0814311962492891</v>
      </c>
      <c r="C41" s="28">
        <f t="shared" ca="1" si="41"/>
        <v>3.0814311962492891</v>
      </c>
      <c r="D41" s="28">
        <f t="shared" ca="1" si="42"/>
        <v>3.0814311962492891</v>
      </c>
      <c r="E41" s="28">
        <f t="shared" ca="1" si="43"/>
        <v>3.0814311962492891</v>
      </c>
      <c r="F41" s="28">
        <f t="shared" ca="1" si="44"/>
        <v>3.0814311962492891</v>
      </c>
      <c r="G41" s="28">
        <f t="shared" ca="1" si="45"/>
        <v>3.0814311962492891</v>
      </c>
      <c r="H41" s="28">
        <f t="shared" ca="1" si="46"/>
        <v>3.0814311962492891</v>
      </c>
      <c r="I41" s="28">
        <f t="shared" ca="1" si="47"/>
        <v>3.0814311962492891</v>
      </c>
      <c r="J41" s="28">
        <f t="shared" ca="1" si="48"/>
        <v>3.0814311962492891</v>
      </c>
      <c r="K41" s="28">
        <f t="shared" ca="1" si="49"/>
        <v>3.0814311962492891</v>
      </c>
      <c r="L41" s="28">
        <f t="shared" ca="1" si="50"/>
        <v>3.0814311962492891</v>
      </c>
      <c r="M41" s="28">
        <f t="shared" ca="1" si="51"/>
        <v>3.0814311962492891</v>
      </c>
      <c r="N41" s="28">
        <f t="shared" ca="1" si="52"/>
        <v>3.0814311962492891</v>
      </c>
      <c r="O41" s="28">
        <f t="shared" ca="1" si="53"/>
        <v>3.0814311962492891</v>
      </c>
      <c r="P41" s="28">
        <f t="shared" ca="1" si="54"/>
        <v>3.0814311962492891</v>
      </c>
      <c r="Q41" s="28">
        <f t="shared" ca="1" si="55"/>
        <v>3.0814311962492891</v>
      </c>
      <c r="R41" s="28">
        <f t="shared" ca="1" si="56"/>
        <v>3.0814311962492891</v>
      </c>
      <c r="S41" s="28">
        <f t="shared" ca="1" si="57"/>
        <v>3.0814311962492891</v>
      </c>
      <c r="T41" s="28">
        <f t="shared" ca="1" si="58"/>
        <v>3.0814311962492891</v>
      </c>
      <c r="U41" s="28">
        <f t="shared" ca="1" si="59"/>
        <v>3.0814311962492891</v>
      </c>
      <c r="V41" s="28">
        <f t="shared" ca="1" si="60"/>
        <v>3.0814311962492891</v>
      </c>
      <c r="W41" s="28">
        <f t="shared" ca="1" si="61"/>
        <v>3.0814311962492891</v>
      </c>
      <c r="X41" s="28">
        <f t="shared" ca="1" si="62"/>
        <v>3.0814311962492891</v>
      </c>
      <c r="Y41" s="28">
        <f t="shared" ca="1" si="63"/>
        <v>3.0814311962492891</v>
      </c>
      <c r="Z41" s="28">
        <f t="shared" ca="1" si="64"/>
        <v>3.0814311962492891</v>
      </c>
      <c r="AA41" s="28">
        <f t="shared" ca="1" si="65"/>
        <v>3.0814311962492891</v>
      </c>
      <c r="AB41" s="28">
        <f t="shared" ca="1" si="66"/>
        <v>3.0814311962492891</v>
      </c>
      <c r="AC41" s="28">
        <f t="shared" ca="1" si="67"/>
        <v>3.0814311962492891</v>
      </c>
      <c r="AD41" s="28">
        <f t="shared" ca="1" si="68"/>
        <v>3.0814311962492891</v>
      </c>
      <c r="AE41" s="28">
        <f t="shared" ca="1" si="69"/>
        <v>3.0814311962492891</v>
      </c>
      <c r="AF41" s="28">
        <f t="shared" ca="1" si="70"/>
        <v>3.0814311962492891</v>
      </c>
    </row>
    <row r="42" spans="1:32" x14ac:dyDescent="0.45">
      <c r="A42" t="s">
        <v>411</v>
      </c>
      <c r="B42" s="7">
        <f ca="1">IF($I$1="LDV", OFFSET(A79,0,MATCH($F$1,$B$62:$H$62,0)),  IF($I$1="HDV", OFFSET(J77,0,MATCH($F$1,$B$62:$H$62,0)),  0))</f>
        <v>15.819457528314457</v>
      </c>
      <c r="C42" s="28">
        <f t="shared" ca="1" si="41"/>
        <v>15.819457528314457</v>
      </c>
      <c r="D42" s="28">
        <f t="shared" ca="1" si="42"/>
        <v>15.819457528314457</v>
      </c>
      <c r="E42" s="28">
        <f t="shared" ca="1" si="43"/>
        <v>15.819457528314457</v>
      </c>
      <c r="F42" s="28">
        <f t="shared" ca="1" si="44"/>
        <v>15.819457528314457</v>
      </c>
      <c r="G42" s="28">
        <f t="shared" ca="1" si="45"/>
        <v>15.819457528314457</v>
      </c>
      <c r="H42" s="28">
        <f t="shared" ca="1" si="46"/>
        <v>15.819457528314457</v>
      </c>
      <c r="I42" s="28">
        <f t="shared" ca="1" si="47"/>
        <v>15.819457528314457</v>
      </c>
      <c r="J42" s="28">
        <f t="shared" ca="1" si="48"/>
        <v>15.819457528314457</v>
      </c>
      <c r="K42" s="28">
        <f t="shared" ca="1" si="49"/>
        <v>15.819457528314457</v>
      </c>
      <c r="L42" s="28">
        <f t="shared" ca="1" si="50"/>
        <v>15.819457528314457</v>
      </c>
      <c r="M42" s="28">
        <f t="shared" ca="1" si="51"/>
        <v>15.819457528314457</v>
      </c>
      <c r="N42" s="28">
        <f t="shared" ca="1" si="52"/>
        <v>15.819457528314457</v>
      </c>
      <c r="O42" s="28">
        <f t="shared" ca="1" si="53"/>
        <v>15.819457528314457</v>
      </c>
      <c r="P42" s="28">
        <f t="shared" ca="1" si="54"/>
        <v>15.819457528314457</v>
      </c>
      <c r="Q42" s="28">
        <f t="shared" ca="1" si="55"/>
        <v>15.819457528314457</v>
      </c>
      <c r="R42" s="28">
        <f t="shared" ca="1" si="56"/>
        <v>15.819457528314457</v>
      </c>
      <c r="S42" s="28">
        <f t="shared" ca="1" si="57"/>
        <v>15.819457528314457</v>
      </c>
      <c r="T42" s="28">
        <f t="shared" ca="1" si="58"/>
        <v>15.819457528314457</v>
      </c>
      <c r="U42" s="28">
        <f t="shared" ca="1" si="59"/>
        <v>15.819457528314457</v>
      </c>
      <c r="V42" s="28">
        <f t="shared" ca="1" si="60"/>
        <v>15.819457528314457</v>
      </c>
      <c r="W42" s="28">
        <f t="shared" ca="1" si="61"/>
        <v>15.819457528314457</v>
      </c>
      <c r="X42" s="28">
        <f t="shared" ca="1" si="62"/>
        <v>15.819457528314457</v>
      </c>
      <c r="Y42" s="28">
        <f t="shared" ca="1" si="63"/>
        <v>15.819457528314457</v>
      </c>
      <c r="Z42" s="28">
        <f t="shared" ca="1" si="64"/>
        <v>15.819457528314457</v>
      </c>
      <c r="AA42" s="28">
        <f t="shared" ca="1" si="65"/>
        <v>15.819457528314457</v>
      </c>
      <c r="AB42" s="28">
        <f t="shared" ca="1" si="66"/>
        <v>15.819457528314457</v>
      </c>
      <c r="AC42" s="28">
        <f t="shared" ca="1" si="67"/>
        <v>15.819457528314457</v>
      </c>
      <c r="AD42" s="28">
        <f t="shared" ca="1" si="68"/>
        <v>15.819457528314457</v>
      </c>
      <c r="AE42" s="28">
        <f t="shared" ca="1" si="69"/>
        <v>15.819457528314457</v>
      </c>
      <c r="AF42" s="28">
        <f t="shared" ca="1" si="70"/>
        <v>15.819457528314457</v>
      </c>
    </row>
    <row r="43" spans="1:32" x14ac:dyDescent="0.45">
      <c r="A43" t="s">
        <v>410</v>
      </c>
      <c r="B43" s="7">
        <f ca="1">IF($I$1="LDV", OFFSET(A80,0,MATCH($F$1,$B$62:$H$62,0)),  IF($I$1="HDV", OFFSET(J78,0,MATCH($F$1,$B$62:$H$62,0)),  0))</f>
        <v>3.9131195184109</v>
      </c>
      <c r="C43" s="28">
        <f t="shared" ca="1" si="41"/>
        <v>3.9131195184109</v>
      </c>
      <c r="D43" s="28">
        <f t="shared" ca="1" si="42"/>
        <v>3.9131195184109</v>
      </c>
      <c r="E43" s="28">
        <f t="shared" ca="1" si="43"/>
        <v>3.9131195184109</v>
      </c>
      <c r="F43" s="28">
        <f t="shared" ca="1" si="44"/>
        <v>3.9131195184109</v>
      </c>
      <c r="G43" s="28">
        <f t="shared" ca="1" si="45"/>
        <v>3.9131195184109</v>
      </c>
      <c r="H43" s="28">
        <f t="shared" ca="1" si="46"/>
        <v>3.9131195184109</v>
      </c>
      <c r="I43" s="28">
        <f t="shared" ca="1" si="47"/>
        <v>3.9131195184109</v>
      </c>
      <c r="J43" s="28">
        <f t="shared" ca="1" si="48"/>
        <v>3.9131195184109</v>
      </c>
      <c r="K43" s="28">
        <f t="shared" ca="1" si="49"/>
        <v>3.9131195184109</v>
      </c>
      <c r="L43" s="28">
        <f t="shared" ca="1" si="50"/>
        <v>3.9131195184109</v>
      </c>
      <c r="M43" s="28">
        <f t="shared" ca="1" si="51"/>
        <v>3.9131195184109</v>
      </c>
      <c r="N43" s="28">
        <f t="shared" ca="1" si="52"/>
        <v>3.9131195184109</v>
      </c>
      <c r="O43" s="28">
        <f t="shared" ca="1" si="53"/>
        <v>3.9131195184109</v>
      </c>
      <c r="P43" s="28">
        <f t="shared" ca="1" si="54"/>
        <v>3.9131195184109</v>
      </c>
      <c r="Q43" s="28">
        <f t="shared" ca="1" si="55"/>
        <v>3.9131195184109</v>
      </c>
      <c r="R43" s="28">
        <f t="shared" ca="1" si="56"/>
        <v>3.9131195184109</v>
      </c>
      <c r="S43" s="28">
        <f t="shared" ca="1" si="57"/>
        <v>3.9131195184109</v>
      </c>
      <c r="T43" s="28">
        <f t="shared" ca="1" si="58"/>
        <v>3.9131195184109</v>
      </c>
      <c r="U43" s="28">
        <f t="shared" ca="1" si="59"/>
        <v>3.9131195184109</v>
      </c>
      <c r="V43" s="28">
        <f t="shared" ca="1" si="60"/>
        <v>3.9131195184109</v>
      </c>
      <c r="W43" s="28">
        <f t="shared" ca="1" si="61"/>
        <v>3.9131195184109</v>
      </c>
      <c r="X43" s="28">
        <f t="shared" ca="1" si="62"/>
        <v>3.9131195184109</v>
      </c>
      <c r="Y43" s="28">
        <f t="shared" ca="1" si="63"/>
        <v>3.9131195184109</v>
      </c>
      <c r="Z43" s="28">
        <f t="shared" ca="1" si="64"/>
        <v>3.9131195184109</v>
      </c>
      <c r="AA43" s="28">
        <f t="shared" ca="1" si="65"/>
        <v>3.9131195184109</v>
      </c>
      <c r="AB43" s="28">
        <f t="shared" ca="1" si="66"/>
        <v>3.9131195184109</v>
      </c>
      <c r="AC43" s="28">
        <f t="shared" ca="1" si="67"/>
        <v>3.9131195184109</v>
      </c>
      <c r="AD43" s="28">
        <f t="shared" ca="1" si="68"/>
        <v>3.9131195184109</v>
      </c>
      <c r="AE43" s="28">
        <f t="shared" ca="1" si="69"/>
        <v>3.9131195184109</v>
      </c>
      <c r="AF43" s="28">
        <f t="shared" ca="1" si="70"/>
        <v>3.9131195184109</v>
      </c>
    </row>
    <row r="44" spans="1:32" x14ac:dyDescent="0.45">
      <c r="A44" t="s">
        <v>412</v>
      </c>
      <c r="B44" s="7">
        <f ca="1">IF($I$1="LDV", OFFSET(A81,0,MATCH($F$1,$B$62:$H$62,0)),  IF($I$1="HDV", OFFSET(J79,0,MATCH($F$1,$B$62:$H$62,0)),  0))</f>
        <v>3.1727474316414184</v>
      </c>
      <c r="C44" s="28">
        <f t="shared" ca="1" si="41"/>
        <v>3.1727474316414184</v>
      </c>
      <c r="D44" s="28">
        <f t="shared" ca="1" si="42"/>
        <v>3.1727474316414184</v>
      </c>
      <c r="E44" s="28">
        <f t="shared" ca="1" si="43"/>
        <v>3.1727474316414184</v>
      </c>
      <c r="F44" s="28">
        <f t="shared" ca="1" si="44"/>
        <v>3.1727474316414184</v>
      </c>
      <c r="G44" s="28">
        <f t="shared" ca="1" si="45"/>
        <v>3.1727474316414184</v>
      </c>
      <c r="H44" s="28">
        <f t="shared" ca="1" si="46"/>
        <v>3.1727474316414184</v>
      </c>
      <c r="I44" s="28">
        <f t="shared" ca="1" si="47"/>
        <v>3.1727474316414184</v>
      </c>
      <c r="J44" s="28">
        <f t="shared" ca="1" si="48"/>
        <v>3.1727474316414184</v>
      </c>
      <c r="K44" s="28">
        <f t="shared" ca="1" si="49"/>
        <v>3.1727474316414184</v>
      </c>
      <c r="L44" s="28">
        <f t="shared" ca="1" si="50"/>
        <v>3.1727474316414184</v>
      </c>
      <c r="M44" s="28">
        <f t="shared" ca="1" si="51"/>
        <v>3.1727474316414184</v>
      </c>
      <c r="N44" s="28">
        <f t="shared" ca="1" si="52"/>
        <v>3.1727474316414184</v>
      </c>
      <c r="O44" s="28">
        <f t="shared" ca="1" si="53"/>
        <v>3.1727474316414184</v>
      </c>
      <c r="P44" s="28">
        <f t="shared" ca="1" si="54"/>
        <v>3.1727474316414184</v>
      </c>
      <c r="Q44" s="28">
        <f t="shared" ca="1" si="55"/>
        <v>3.1727474316414184</v>
      </c>
      <c r="R44" s="28">
        <f t="shared" ca="1" si="56"/>
        <v>3.1727474316414184</v>
      </c>
      <c r="S44" s="28">
        <f t="shared" ca="1" si="57"/>
        <v>3.1727474316414184</v>
      </c>
      <c r="T44" s="28">
        <f t="shared" ca="1" si="58"/>
        <v>3.1727474316414184</v>
      </c>
      <c r="U44" s="28">
        <f t="shared" ca="1" si="59"/>
        <v>3.1727474316414184</v>
      </c>
      <c r="V44" s="28">
        <f t="shared" ca="1" si="60"/>
        <v>3.1727474316414184</v>
      </c>
      <c r="W44" s="28">
        <f t="shared" ca="1" si="61"/>
        <v>3.1727474316414184</v>
      </c>
      <c r="X44" s="28">
        <f t="shared" ca="1" si="62"/>
        <v>3.1727474316414184</v>
      </c>
      <c r="Y44" s="28">
        <f t="shared" ca="1" si="63"/>
        <v>3.1727474316414184</v>
      </c>
      <c r="Z44" s="28">
        <f t="shared" ca="1" si="64"/>
        <v>3.1727474316414184</v>
      </c>
      <c r="AA44" s="28">
        <f t="shared" ca="1" si="65"/>
        <v>3.1727474316414184</v>
      </c>
      <c r="AB44" s="28">
        <f t="shared" ca="1" si="66"/>
        <v>3.1727474316414184</v>
      </c>
      <c r="AC44" s="28">
        <f t="shared" ca="1" si="67"/>
        <v>3.1727474316414184</v>
      </c>
      <c r="AD44" s="28">
        <f t="shared" ca="1" si="68"/>
        <v>3.1727474316414184</v>
      </c>
      <c r="AE44" s="28">
        <f t="shared" ca="1" si="69"/>
        <v>3.1727474316414184</v>
      </c>
      <c r="AF44" s="28">
        <f t="shared" ca="1" si="70"/>
        <v>3.1727474316414184</v>
      </c>
    </row>
    <row r="45" spans="1:32" x14ac:dyDescent="0.45">
      <c r="A45" t="s">
        <v>51</v>
      </c>
      <c r="B45" s="7">
        <f ca="1">IF($I$1="LDV", OFFSET(A82,0,MATCH($F$1,$B$62:$H$62,0)),  IF($I$1="HDV", OFFSET(J80,0,MATCH($F$1,$B$62:$H$62,0)),  0))</f>
        <v>3.3761079964271059</v>
      </c>
      <c r="C45" s="28">
        <f t="shared" ref="C45:C46" ca="1" si="71">B45*(1+$C$9)</f>
        <v>3.3761079964271059</v>
      </c>
      <c r="D45" s="28">
        <f t="shared" ref="D45:D46" ca="1" si="72">C45*(1+$C$9)</f>
        <v>3.3761079964271059</v>
      </c>
      <c r="E45" s="28">
        <f t="shared" ref="E45:E46" ca="1" si="73">D45*(1+$C$9)</f>
        <v>3.3761079964271059</v>
      </c>
      <c r="F45" s="28">
        <f t="shared" ref="F45:F46" ca="1" si="74">E45*(1+$C$9)</f>
        <v>3.3761079964271059</v>
      </c>
      <c r="G45" s="28">
        <f t="shared" ref="G45:G46" ca="1" si="75">F45*(1+$C$9)</f>
        <v>3.3761079964271059</v>
      </c>
      <c r="H45" s="28">
        <f t="shared" ref="H45:H46" ca="1" si="76">G45*(1+$C$9)</f>
        <v>3.3761079964271059</v>
      </c>
      <c r="I45" s="28">
        <f t="shared" ref="I45:I46" ca="1" si="77">H45*(1+$C$9)</f>
        <v>3.3761079964271059</v>
      </c>
      <c r="J45" s="28">
        <f t="shared" ref="J45:J46" ca="1" si="78">I45*(1+$C$9)</f>
        <v>3.3761079964271059</v>
      </c>
      <c r="K45" s="28">
        <f t="shared" ref="K45:K46" ca="1" si="79">J45*(1+$C$9)</f>
        <v>3.3761079964271059</v>
      </c>
      <c r="L45" s="28">
        <f t="shared" ref="L45:L46" ca="1" si="80">K45*(1+$C$9)</f>
        <v>3.3761079964271059</v>
      </c>
      <c r="M45" s="28">
        <f t="shared" ref="M45:M46" ca="1" si="81">L45*(1+$C$9)</f>
        <v>3.3761079964271059</v>
      </c>
      <c r="N45" s="28">
        <f t="shared" ref="N45:N46" ca="1" si="82">M45*(1+$C$9)</f>
        <v>3.3761079964271059</v>
      </c>
      <c r="O45" s="28">
        <f t="shared" ref="O45:O46" ca="1" si="83">N45*(1+$C$9)</f>
        <v>3.3761079964271059</v>
      </c>
      <c r="P45" s="28">
        <f t="shared" ref="P45:P46" ca="1" si="84">O45*(1+$C$9)</f>
        <v>3.3761079964271059</v>
      </c>
      <c r="Q45" s="28">
        <f t="shared" ref="Q45:Q46" ca="1" si="85">P45*(1+$C$9)</f>
        <v>3.3761079964271059</v>
      </c>
      <c r="R45" s="28">
        <f t="shared" ref="R45:R46" ca="1" si="86">Q45*(1+$C$9)</f>
        <v>3.3761079964271059</v>
      </c>
      <c r="S45" s="28">
        <f t="shared" ref="S45:S46" ca="1" si="87">R45*(1+$C$9)</f>
        <v>3.3761079964271059</v>
      </c>
      <c r="T45" s="28">
        <f t="shared" ref="T45:T46" ca="1" si="88">S45*(1+$C$9)</f>
        <v>3.3761079964271059</v>
      </c>
      <c r="U45" s="28">
        <f t="shared" ref="U45:U46" ca="1" si="89">T45*(1+$C$9)</f>
        <v>3.3761079964271059</v>
      </c>
      <c r="V45" s="28">
        <f t="shared" ref="V45:V46" ca="1" si="90">U45*(1+$C$9)</f>
        <v>3.3761079964271059</v>
      </c>
      <c r="W45" s="28">
        <f t="shared" ref="W45:W46" ca="1" si="91">V45*(1+$C$9)</f>
        <v>3.3761079964271059</v>
      </c>
      <c r="X45" s="28">
        <f t="shared" ref="X45:X46" ca="1" si="92">W45*(1+$C$9)</f>
        <v>3.3761079964271059</v>
      </c>
      <c r="Y45" s="28">
        <f t="shared" ref="Y45:Y46" ca="1" si="93">X45*(1+$C$9)</f>
        <v>3.3761079964271059</v>
      </c>
      <c r="Z45" s="28">
        <f t="shared" ref="Z45:Z46" ca="1" si="94">Y45*(1+$C$9)</f>
        <v>3.3761079964271059</v>
      </c>
      <c r="AA45" s="28">
        <f t="shared" ref="AA45:AA46" ca="1" si="95">Z45*(1+$C$9)</f>
        <v>3.3761079964271059</v>
      </c>
      <c r="AB45" s="28">
        <f t="shared" ref="AB45:AB46" ca="1" si="96">AA45*(1+$C$9)</f>
        <v>3.3761079964271059</v>
      </c>
      <c r="AC45" s="28">
        <f t="shared" ref="AC45:AC46" ca="1" si="97">AB45*(1+$C$9)</f>
        <v>3.3761079964271059</v>
      </c>
      <c r="AD45" s="28">
        <f t="shared" ref="AD45:AD46" ca="1" si="98">AC45*(1+$C$9)</f>
        <v>3.3761079964271059</v>
      </c>
      <c r="AE45" s="28">
        <f t="shared" ref="AE45:AE46" ca="1" si="99">AD45*(1+$C$9)</f>
        <v>3.3761079964271059</v>
      </c>
      <c r="AF45" s="28">
        <f t="shared" ref="AF45:AF46" ca="1" si="100">AE45*(1+$C$9)</f>
        <v>3.3761079964271059</v>
      </c>
    </row>
    <row r="46" spans="1:32" x14ac:dyDescent="0.45">
      <c r="A46" t="s">
        <v>53</v>
      </c>
      <c r="B46" s="7">
        <f ca="1">IF($I$1="LDV", OFFSET(A83,0,MATCH($F$1,$B$62:$H$62,0)),  IF($I$1="HDV", OFFSET(J81,0,MATCH($F$1,$B$62:$H$62,0)),  0))</f>
        <v>3.1182300398617233</v>
      </c>
      <c r="C46" s="28">
        <f t="shared" ca="1" si="71"/>
        <v>3.1182300398617233</v>
      </c>
      <c r="D46" s="28">
        <f t="shared" ca="1" si="72"/>
        <v>3.1182300398617233</v>
      </c>
      <c r="E46" s="28">
        <f t="shared" ca="1" si="73"/>
        <v>3.1182300398617233</v>
      </c>
      <c r="F46" s="28">
        <f t="shared" ca="1" si="74"/>
        <v>3.1182300398617233</v>
      </c>
      <c r="G46" s="28">
        <f t="shared" ca="1" si="75"/>
        <v>3.1182300398617233</v>
      </c>
      <c r="H46" s="28">
        <f t="shared" ca="1" si="76"/>
        <v>3.1182300398617233</v>
      </c>
      <c r="I46" s="28">
        <f t="shared" ca="1" si="77"/>
        <v>3.1182300398617233</v>
      </c>
      <c r="J46" s="28">
        <f t="shared" ca="1" si="78"/>
        <v>3.1182300398617233</v>
      </c>
      <c r="K46" s="28">
        <f t="shared" ca="1" si="79"/>
        <v>3.1182300398617233</v>
      </c>
      <c r="L46" s="28">
        <f t="shared" ca="1" si="80"/>
        <v>3.1182300398617233</v>
      </c>
      <c r="M46" s="28">
        <f t="shared" ca="1" si="81"/>
        <v>3.1182300398617233</v>
      </c>
      <c r="N46" s="28">
        <f t="shared" ca="1" si="82"/>
        <v>3.1182300398617233</v>
      </c>
      <c r="O46" s="28">
        <f t="shared" ca="1" si="83"/>
        <v>3.1182300398617233</v>
      </c>
      <c r="P46" s="28">
        <f t="shared" ca="1" si="84"/>
        <v>3.1182300398617233</v>
      </c>
      <c r="Q46" s="28">
        <f t="shared" ca="1" si="85"/>
        <v>3.1182300398617233</v>
      </c>
      <c r="R46" s="28">
        <f t="shared" ca="1" si="86"/>
        <v>3.1182300398617233</v>
      </c>
      <c r="S46" s="28">
        <f t="shared" ca="1" si="87"/>
        <v>3.1182300398617233</v>
      </c>
      <c r="T46" s="28">
        <f t="shared" ca="1" si="88"/>
        <v>3.1182300398617233</v>
      </c>
      <c r="U46" s="28">
        <f t="shared" ca="1" si="89"/>
        <v>3.1182300398617233</v>
      </c>
      <c r="V46" s="28">
        <f t="shared" ca="1" si="90"/>
        <v>3.1182300398617233</v>
      </c>
      <c r="W46" s="28">
        <f t="shared" ca="1" si="91"/>
        <v>3.1182300398617233</v>
      </c>
      <c r="X46" s="28">
        <f t="shared" ca="1" si="92"/>
        <v>3.1182300398617233</v>
      </c>
      <c r="Y46" s="28">
        <f t="shared" ca="1" si="93"/>
        <v>3.1182300398617233</v>
      </c>
      <c r="Z46" s="28">
        <f t="shared" ca="1" si="94"/>
        <v>3.1182300398617233</v>
      </c>
      <c r="AA46" s="28">
        <f t="shared" ca="1" si="95"/>
        <v>3.1182300398617233</v>
      </c>
      <c r="AB46" s="28">
        <f t="shared" ca="1" si="96"/>
        <v>3.1182300398617233</v>
      </c>
      <c r="AC46" s="28">
        <f t="shared" ca="1" si="97"/>
        <v>3.1182300398617233</v>
      </c>
      <c r="AD46" s="28">
        <f t="shared" ca="1" si="98"/>
        <v>3.1182300398617233</v>
      </c>
      <c r="AE46" s="28">
        <f t="shared" ca="1" si="99"/>
        <v>3.1182300398617233</v>
      </c>
      <c r="AF46" s="28">
        <f t="shared" ca="1" si="100"/>
        <v>3.1182300398617233</v>
      </c>
    </row>
    <row r="48" spans="1:32" x14ac:dyDescent="0.45">
      <c r="B48" t="s">
        <v>328</v>
      </c>
    </row>
    <row r="49" spans="1:35" x14ac:dyDescent="0.45">
      <c r="A49" t="s">
        <v>182</v>
      </c>
      <c r="B49">
        <f t="shared" ref="B49:B51" ca="1" si="101">IF($I$1="LDV", OFFSET(A85,0,MATCH($F$1,$B$62:$H$62,0)),  IF($I$1="HDV", OFFSET(J85,0,MATCH($F$1,$B$62:$H$62,0)),  0))</f>
        <v>3.7061543506412393</v>
      </c>
      <c r="C49" s="28">
        <f t="shared" ref="C49:C56" ca="1" si="102">B49*(1+$C$9)</f>
        <v>3.7061543506412393</v>
      </c>
      <c r="D49" s="28">
        <f t="shared" ref="D49:D56" ca="1" si="103">C49*(1+$C$9)</f>
        <v>3.7061543506412393</v>
      </c>
      <c r="E49" s="28">
        <f t="shared" ref="E49:E56" ca="1" si="104">D49*(1+$C$9)</f>
        <v>3.7061543506412393</v>
      </c>
      <c r="F49" s="28">
        <f t="shared" ref="F49:F56" ca="1" si="105">E49*(1+$C$9)</f>
        <v>3.7061543506412393</v>
      </c>
      <c r="G49" s="28">
        <f t="shared" ref="G49:G56" ca="1" si="106">F49*(1+$C$9)</f>
        <v>3.7061543506412393</v>
      </c>
      <c r="H49" s="28">
        <f t="shared" ref="H49:H56" ca="1" si="107">G49*(1+$C$9)</f>
        <v>3.7061543506412393</v>
      </c>
      <c r="I49" s="28">
        <f t="shared" ref="I49:I56" ca="1" si="108">H49*(1+$C$9)</f>
        <v>3.7061543506412393</v>
      </c>
      <c r="J49" s="28">
        <f t="shared" ref="J49:J56" ca="1" si="109">I49*(1+$C$9)</f>
        <v>3.7061543506412393</v>
      </c>
      <c r="K49" s="28">
        <f t="shared" ref="K49:K56" ca="1" si="110">J49*(1+$C$9)</f>
        <v>3.7061543506412393</v>
      </c>
      <c r="L49" s="28">
        <f t="shared" ref="L49:L56" ca="1" si="111">K49*(1+$C$9)</f>
        <v>3.7061543506412393</v>
      </c>
      <c r="M49" s="28">
        <f t="shared" ref="M49:M56" ca="1" si="112">L49*(1+$C$9)</f>
        <v>3.7061543506412393</v>
      </c>
      <c r="N49" s="28">
        <f t="shared" ref="N49:N56" ca="1" si="113">M49*(1+$C$9)</f>
        <v>3.7061543506412393</v>
      </c>
      <c r="O49" s="28">
        <f t="shared" ref="O49:O56" ca="1" si="114">N49*(1+$C$9)</f>
        <v>3.7061543506412393</v>
      </c>
      <c r="P49" s="28">
        <f t="shared" ref="P49:P56" ca="1" si="115">O49*(1+$C$9)</f>
        <v>3.7061543506412393</v>
      </c>
      <c r="Q49" s="28">
        <f t="shared" ref="Q49:Q56" ca="1" si="116">P49*(1+$C$9)</f>
        <v>3.7061543506412393</v>
      </c>
      <c r="R49" s="28">
        <f t="shared" ref="R49:R56" ca="1" si="117">Q49*(1+$C$9)</f>
        <v>3.7061543506412393</v>
      </c>
      <c r="S49" s="28">
        <f t="shared" ref="S49:S56" ca="1" si="118">R49*(1+$C$9)</f>
        <v>3.7061543506412393</v>
      </c>
      <c r="T49" s="28">
        <f t="shared" ref="T49:T56" ca="1" si="119">S49*(1+$C$9)</f>
        <v>3.7061543506412393</v>
      </c>
      <c r="U49" s="28">
        <f t="shared" ref="U49:U56" ca="1" si="120">T49*(1+$C$9)</f>
        <v>3.7061543506412393</v>
      </c>
      <c r="V49" s="28">
        <f t="shared" ref="V49:V56" ca="1" si="121">U49*(1+$C$9)</f>
        <v>3.7061543506412393</v>
      </c>
      <c r="W49" s="28">
        <f t="shared" ref="W49:W56" ca="1" si="122">V49*(1+$C$9)</f>
        <v>3.7061543506412393</v>
      </c>
      <c r="X49" s="28">
        <f t="shared" ref="X49:X56" ca="1" si="123">W49*(1+$C$9)</f>
        <v>3.7061543506412393</v>
      </c>
      <c r="Y49" s="28">
        <f t="shared" ref="Y49:Y56" ca="1" si="124">X49*(1+$C$9)</f>
        <v>3.7061543506412393</v>
      </c>
      <c r="Z49" s="28">
        <f t="shared" ref="Z49:Z56" ca="1" si="125">Y49*(1+$C$9)</f>
        <v>3.7061543506412393</v>
      </c>
      <c r="AA49" s="28">
        <f t="shared" ref="AA49:AA56" ca="1" si="126">Z49*(1+$C$9)</f>
        <v>3.7061543506412393</v>
      </c>
      <c r="AB49" s="28">
        <f t="shared" ref="AB49:AB56" ca="1" si="127">AA49*(1+$C$9)</f>
        <v>3.7061543506412393</v>
      </c>
      <c r="AC49" s="28">
        <f t="shared" ref="AC49:AC56" ca="1" si="128">AB49*(1+$C$9)</f>
        <v>3.7061543506412393</v>
      </c>
      <c r="AD49" s="28">
        <f t="shared" ref="AD49:AD56" ca="1" si="129">AC49*(1+$C$9)</f>
        <v>3.7061543506412393</v>
      </c>
      <c r="AE49" s="28">
        <f t="shared" ref="AE49:AE56" ca="1" si="130">AD49*(1+$C$9)</f>
        <v>3.7061543506412393</v>
      </c>
      <c r="AF49" s="28">
        <f t="shared" ref="AF49:AF56" ca="1" si="131">AE49*(1+$C$9)</f>
        <v>3.7061543506412393</v>
      </c>
    </row>
    <row r="50" spans="1:35" x14ac:dyDescent="0.45">
      <c r="A50" t="s">
        <v>183</v>
      </c>
      <c r="B50">
        <f t="shared" ca="1" si="101"/>
        <v>4.1356487191811295</v>
      </c>
      <c r="C50" s="28">
        <f t="shared" ca="1" si="102"/>
        <v>4.1356487191811295</v>
      </c>
      <c r="D50" s="28">
        <f t="shared" ca="1" si="103"/>
        <v>4.1356487191811295</v>
      </c>
      <c r="E50" s="28">
        <f t="shared" ca="1" si="104"/>
        <v>4.1356487191811295</v>
      </c>
      <c r="F50" s="28">
        <f t="shared" ca="1" si="105"/>
        <v>4.1356487191811295</v>
      </c>
      <c r="G50" s="28">
        <f t="shared" ca="1" si="106"/>
        <v>4.1356487191811295</v>
      </c>
      <c r="H50" s="28">
        <f t="shared" ca="1" si="107"/>
        <v>4.1356487191811295</v>
      </c>
      <c r="I50" s="28">
        <f t="shared" ca="1" si="108"/>
        <v>4.1356487191811295</v>
      </c>
      <c r="J50" s="28">
        <f t="shared" ca="1" si="109"/>
        <v>4.1356487191811295</v>
      </c>
      <c r="K50" s="28">
        <f t="shared" ca="1" si="110"/>
        <v>4.1356487191811295</v>
      </c>
      <c r="L50" s="28">
        <f t="shared" ca="1" si="111"/>
        <v>4.1356487191811295</v>
      </c>
      <c r="M50" s="28">
        <f t="shared" ca="1" si="112"/>
        <v>4.1356487191811295</v>
      </c>
      <c r="N50" s="28">
        <f t="shared" ca="1" si="113"/>
        <v>4.1356487191811295</v>
      </c>
      <c r="O50" s="28">
        <f t="shared" ca="1" si="114"/>
        <v>4.1356487191811295</v>
      </c>
      <c r="P50" s="28">
        <f t="shared" ca="1" si="115"/>
        <v>4.1356487191811295</v>
      </c>
      <c r="Q50" s="28">
        <f t="shared" ca="1" si="116"/>
        <v>4.1356487191811295</v>
      </c>
      <c r="R50" s="28">
        <f t="shared" ca="1" si="117"/>
        <v>4.1356487191811295</v>
      </c>
      <c r="S50" s="28">
        <f t="shared" ca="1" si="118"/>
        <v>4.1356487191811295</v>
      </c>
      <c r="T50" s="28">
        <f t="shared" ca="1" si="119"/>
        <v>4.1356487191811295</v>
      </c>
      <c r="U50" s="28">
        <f t="shared" ca="1" si="120"/>
        <v>4.1356487191811295</v>
      </c>
      <c r="V50" s="28">
        <f t="shared" ca="1" si="121"/>
        <v>4.1356487191811295</v>
      </c>
      <c r="W50" s="28">
        <f t="shared" ca="1" si="122"/>
        <v>4.1356487191811295</v>
      </c>
      <c r="X50" s="28">
        <f t="shared" ca="1" si="123"/>
        <v>4.1356487191811295</v>
      </c>
      <c r="Y50" s="28">
        <f t="shared" ca="1" si="124"/>
        <v>4.1356487191811295</v>
      </c>
      <c r="Z50" s="28">
        <f t="shared" ca="1" si="125"/>
        <v>4.1356487191811295</v>
      </c>
      <c r="AA50" s="28">
        <f t="shared" ca="1" si="126"/>
        <v>4.1356487191811295</v>
      </c>
      <c r="AB50" s="28">
        <f t="shared" ca="1" si="127"/>
        <v>4.1356487191811295</v>
      </c>
      <c r="AC50" s="28">
        <f t="shared" ca="1" si="128"/>
        <v>4.1356487191811295</v>
      </c>
      <c r="AD50" s="28">
        <f t="shared" ca="1" si="129"/>
        <v>4.1356487191811295</v>
      </c>
      <c r="AE50" s="28">
        <f t="shared" ca="1" si="130"/>
        <v>4.1356487191811295</v>
      </c>
      <c r="AF50" s="28">
        <f t="shared" ca="1" si="131"/>
        <v>4.1356487191811295</v>
      </c>
    </row>
    <row r="51" spans="1:35" x14ac:dyDescent="0.45">
      <c r="A51" t="s">
        <v>48</v>
      </c>
      <c r="B51">
        <f t="shared" ca="1" si="101"/>
        <v>3.5150359999999998</v>
      </c>
      <c r="C51" s="28">
        <f t="shared" ca="1" si="102"/>
        <v>3.5150359999999998</v>
      </c>
      <c r="D51" s="28">
        <f t="shared" ca="1" si="103"/>
        <v>3.5150359999999998</v>
      </c>
      <c r="E51" s="28">
        <f t="shared" ca="1" si="104"/>
        <v>3.5150359999999998</v>
      </c>
      <c r="F51" s="28">
        <f t="shared" ca="1" si="105"/>
        <v>3.5150359999999998</v>
      </c>
      <c r="G51" s="28">
        <f t="shared" ca="1" si="106"/>
        <v>3.5150359999999998</v>
      </c>
      <c r="H51" s="28">
        <f t="shared" ca="1" si="107"/>
        <v>3.5150359999999998</v>
      </c>
      <c r="I51" s="28">
        <f t="shared" ca="1" si="108"/>
        <v>3.5150359999999998</v>
      </c>
      <c r="J51" s="28">
        <f t="shared" ca="1" si="109"/>
        <v>3.5150359999999998</v>
      </c>
      <c r="K51" s="28">
        <f t="shared" ca="1" si="110"/>
        <v>3.5150359999999998</v>
      </c>
      <c r="L51" s="28">
        <f t="shared" ca="1" si="111"/>
        <v>3.5150359999999998</v>
      </c>
      <c r="M51" s="28">
        <f t="shared" ca="1" si="112"/>
        <v>3.5150359999999998</v>
      </c>
      <c r="N51" s="28">
        <f t="shared" ca="1" si="113"/>
        <v>3.5150359999999998</v>
      </c>
      <c r="O51" s="28">
        <f t="shared" ca="1" si="114"/>
        <v>3.5150359999999998</v>
      </c>
      <c r="P51" s="28">
        <f t="shared" ca="1" si="115"/>
        <v>3.5150359999999998</v>
      </c>
      <c r="Q51" s="28">
        <f t="shared" ca="1" si="116"/>
        <v>3.5150359999999998</v>
      </c>
      <c r="R51" s="28">
        <f t="shared" ca="1" si="117"/>
        <v>3.5150359999999998</v>
      </c>
      <c r="S51" s="28">
        <f t="shared" ca="1" si="118"/>
        <v>3.5150359999999998</v>
      </c>
      <c r="T51" s="28">
        <f t="shared" ca="1" si="119"/>
        <v>3.5150359999999998</v>
      </c>
      <c r="U51" s="28">
        <f t="shared" ca="1" si="120"/>
        <v>3.5150359999999998</v>
      </c>
      <c r="V51" s="28">
        <f t="shared" ca="1" si="121"/>
        <v>3.5150359999999998</v>
      </c>
      <c r="W51" s="28">
        <f t="shared" ca="1" si="122"/>
        <v>3.5150359999999998</v>
      </c>
      <c r="X51" s="28">
        <f t="shared" ca="1" si="123"/>
        <v>3.5150359999999998</v>
      </c>
      <c r="Y51" s="28">
        <f t="shared" ca="1" si="124"/>
        <v>3.5150359999999998</v>
      </c>
      <c r="Z51" s="28">
        <f t="shared" ca="1" si="125"/>
        <v>3.5150359999999998</v>
      </c>
      <c r="AA51" s="28">
        <f t="shared" ca="1" si="126"/>
        <v>3.5150359999999998</v>
      </c>
      <c r="AB51" s="28">
        <f t="shared" ca="1" si="127"/>
        <v>3.5150359999999998</v>
      </c>
      <c r="AC51" s="28">
        <f t="shared" ca="1" si="128"/>
        <v>3.5150359999999998</v>
      </c>
      <c r="AD51" s="28">
        <f t="shared" ca="1" si="129"/>
        <v>3.5150359999999998</v>
      </c>
      <c r="AE51" s="28">
        <f t="shared" ca="1" si="130"/>
        <v>3.5150359999999998</v>
      </c>
      <c r="AF51" s="28">
        <f t="shared" ca="1" si="131"/>
        <v>3.5150359999999998</v>
      </c>
    </row>
    <row r="52" spans="1:35" x14ac:dyDescent="0.45">
      <c r="A52" t="s">
        <v>49</v>
      </c>
      <c r="B52">
        <f ca="1">IF($I$1="LDV", OFFSET(A88,0,MATCH($F$1,$B$62:$H$62,0)),  IF($I$1="HDV", OFFSET(J93,0,MATCH($F$1,$B$62:$H$62,0)),  0))</f>
        <v>2.3435272411018753</v>
      </c>
      <c r="C52" s="28">
        <f t="shared" ca="1" si="102"/>
        <v>2.3435272411018753</v>
      </c>
      <c r="D52" s="28">
        <f t="shared" ca="1" si="103"/>
        <v>2.3435272411018753</v>
      </c>
      <c r="E52" s="28">
        <f t="shared" ca="1" si="104"/>
        <v>2.3435272411018753</v>
      </c>
      <c r="F52" s="28">
        <f t="shared" ca="1" si="105"/>
        <v>2.3435272411018753</v>
      </c>
      <c r="G52" s="28">
        <f t="shared" ca="1" si="106"/>
        <v>2.3435272411018753</v>
      </c>
      <c r="H52" s="28">
        <f t="shared" ca="1" si="107"/>
        <v>2.3435272411018753</v>
      </c>
      <c r="I52" s="28">
        <f t="shared" ca="1" si="108"/>
        <v>2.3435272411018753</v>
      </c>
      <c r="J52" s="28">
        <f t="shared" ca="1" si="109"/>
        <v>2.3435272411018753</v>
      </c>
      <c r="K52" s="28">
        <f t="shared" ca="1" si="110"/>
        <v>2.3435272411018753</v>
      </c>
      <c r="L52" s="28">
        <f t="shared" ca="1" si="111"/>
        <v>2.3435272411018753</v>
      </c>
      <c r="M52" s="28">
        <f t="shared" ca="1" si="112"/>
        <v>2.3435272411018753</v>
      </c>
      <c r="N52" s="28">
        <f t="shared" ca="1" si="113"/>
        <v>2.3435272411018753</v>
      </c>
      <c r="O52" s="28">
        <f t="shared" ca="1" si="114"/>
        <v>2.3435272411018753</v>
      </c>
      <c r="P52" s="28">
        <f t="shared" ca="1" si="115"/>
        <v>2.3435272411018753</v>
      </c>
      <c r="Q52" s="28">
        <f t="shared" ca="1" si="116"/>
        <v>2.3435272411018753</v>
      </c>
      <c r="R52" s="28">
        <f t="shared" ca="1" si="117"/>
        <v>2.3435272411018753</v>
      </c>
      <c r="S52" s="28">
        <f t="shared" ca="1" si="118"/>
        <v>2.3435272411018753</v>
      </c>
      <c r="T52" s="28">
        <f t="shared" ca="1" si="119"/>
        <v>2.3435272411018753</v>
      </c>
      <c r="U52" s="28">
        <f t="shared" ca="1" si="120"/>
        <v>2.3435272411018753</v>
      </c>
      <c r="V52" s="28">
        <f t="shared" ca="1" si="121"/>
        <v>2.3435272411018753</v>
      </c>
      <c r="W52" s="28">
        <f t="shared" ca="1" si="122"/>
        <v>2.3435272411018753</v>
      </c>
      <c r="X52" s="28">
        <f t="shared" ca="1" si="123"/>
        <v>2.3435272411018753</v>
      </c>
      <c r="Y52" s="28">
        <f t="shared" ca="1" si="124"/>
        <v>2.3435272411018753</v>
      </c>
      <c r="Z52" s="28">
        <f t="shared" ca="1" si="125"/>
        <v>2.3435272411018753</v>
      </c>
      <c r="AA52" s="28">
        <f t="shared" ca="1" si="126"/>
        <v>2.3435272411018753</v>
      </c>
      <c r="AB52" s="28">
        <f t="shared" ca="1" si="127"/>
        <v>2.3435272411018753</v>
      </c>
      <c r="AC52" s="28">
        <f t="shared" ca="1" si="128"/>
        <v>2.3435272411018753</v>
      </c>
      <c r="AD52" s="28">
        <f t="shared" ca="1" si="129"/>
        <v>2.3435272411018753</v>
      </c>
      <c r="AE52" s="28">
        <f t="shared" ca="1" si="130"/>
        <v>2.3435272411018753</v>
      </c>
      <c r="AF52" s="28">
        <f t="shared" ca="1" si="131"/>
        <v>2.3435272411018753</v>
      </c>
    </row>
    <row r="53" spans="1:35" x14ac:dyDescent="0.45">
      <c r="A53" t="s">
        <v>52</v>
      </c>
      <c r="B53">
        <f ca="1">IF($I$1="LDV", OFFSET(A89,0,MATCH($F$1,$B$62:$H$62,0)),  IF($I$1="HDV", OFFSET(J94,0,MATCH($F$1,$B$62:$H$62,0)),  0))</f>
        <v>4.9499686264233542</v>
      </c>
      <c r="C53" s="28">
        <f t="shared" ca="1" si="102"/>
        <v>4.9499686264233542</v>
      </c>
      <c r="D53" s="28">
        <f t="shared" ca="1" si="103"/>
        <v>4.9499686264233542</v>
      </c>
      <c r="E53" s="28">
        <f t="shared" ca="1" si="104"/>
        <v>4.9499686264233542</v>
      </c>
      <c r="F53" s="28">
        <f t="shared" ca="1" si="105"/>
        <v>4.9499686264233542</v>
      </c>
      <c r="G53" s="28">
        <f t="shared" ca="1" si="106"/>
        <v>4.9499686264233542</v>
      </c>
      <c r="H53" s="28">
        <f t="shared" ca="1" si="107"/>
        <v>4.9499686264233542</v>
      </c>
      <c r="I53" s="28">
        <f t="shared" ca="1" si="108"/>
        <v>4.9499686264233542</v>
      </c>
      <c r="J53" s="28">
        <f t="shared" ca="1" si="109"/>
        <v>4.9499686264233542</v>
      </c>
      <c r="K53" s="28">
        <f t="shared" ca="1" si="110"/>
        <v>4.9499686264233542</v>
      </c>
      <c r="L53" s="28">
        <f t="shared" ca="1" si="111"/>
        <v>4.9499686264233542</v>
      </c>
      <c r="M53" s="28">
        <f t="shared" ca="1" si="112"/>
        <v>4.9499686264233542</v>
      </c>
      <c r="N53" s="28">
        <f t="shared" ca="1" si="113"/>
        <v>4.9499686264233542</v>
      </c>
      <c r="O53" s="28">
        <f t="shared" ca="1" si="114"/>
        <v>4.9499686264233542</v>
      </c>
      <c r="P53" s="28">
        <f t="shared" ca="1" si="115"/>
        <v>4.9499686264233542</v>
      </c>
      <c r="Q53" s="28">
        <f t="shared" ca="1" si="116"/>
        <v>4.9499686264233542</v>
      </c>
      <c r="R53" s="28">
        <f t="shared" ca="1" si="117"/>
        <v>4.9499686264233542</v>
      </c>
      <c r="S53" s="28">
        <f t="shared" ca="1" si="118"/>
        <v>4.9499686264233542</v>
      </c>
      <c r="T53" s="28">
        <f t="shared" ca="1" si="119"/>
        <v>4.9499686264233542</v>
      </c>
      <c r="U53" s="28">
        <f t="shared" ca="1" si="120"/>
        <v>4.9499686264233542</v>
      </c>
      <c r="V53" s="28">
        <f t="shared" ca="1" si="121"/>
        <v>4.9499686264233542</v>
      </c>
      <c r="W53" s="28">
        <f t="shared" ca="1" si="122"/>
        <v>4.9499686264233542</v>
      </c>
      <c r="X53" s="28">
        <f t="shared" ca="1" si="123"/>
        <v>4.9499686264233542</v>
      </c>
      <c r="Y53" s="28">
        <f t="shared" ca="1" si="124"/>
        <v>4.9499686264233542</v>
      </c>
      <c r="Z53" s="28">
        <f t="shared" ca="1" si="125"/>
        <v>4.9499686264233542</v>
      </c>
      <c r="AA53" s="28">
        <f t="shared" ca="1" si="126"/>
        <v>4.9499686264233542</v>
      </c>
      <c r="AB53" s="28">
        <f t="shared" ca="1" si="127"/>
        <v>4.9499686264233542</v>
      </c>
      <c r="AC53" s="28">
        <f t="shared" ca="1" si="128"/>
        <v>4.9499686264233542</v>
      </c>
      <c r="AD53" s="28">
        <f t="shared" ca="1" si="129"/>
        <v>4.9499686264233542</v>
      </c>
      <c r="AE53" s="28">
        <f t="shared" ca="1" si="130"/>
        <v>4.9499686264233542</v>
      </c>
      <c r="AF53" s="28">
        <f t="shared" ca="1" si="131"/>
        <v>4.9499686264233542</v>
      </c>
    </row>
    <row r="54" spans="1:35" x14ac:dyDescent="0.45">
      <c r="A54" t="s">
        <v>411</v>
      </c>
      <c r="B54">
        <f ca="1">IF($I$1="LDV", OFFSET(A90,0,MATCH($F$1,$B$62:$H$62,0)),  IF($I$1="HDV", OFFSET(J88,0,MATCH($F$1,$B$62:$H$62,0)),  0))</f>
        <v>15.819457528314457</v>
      </c>
      <c r="C54" s="28">
        <f t="shared" ca="1" si="102"/>
        <v>15.819457528314457</v>
      </c>
      <c r="D54" s="28">
        <f t="shared" ca="1" si="103"/>
        <v>15.819457528314457</v>
      </c>
      <c r="E54" s="28">
        <f t="shared" ca="1" si="104"/>
        <v>15.819457528314457</v>
      </c>
      <c r="F54" s="28">
        <f t="shared" ca="1" si="105"/>
        <v>15.819457528314457</v>
      </c>
      <c r="G54" s="28">
        <f t="shared" ca="1" si="106"/>
        <v>15.819457528314457</v>
      </c>
      <c r="H54" s="28">
        <f t="shared" ca="1" si="107"/>
        <v>15.819457528314457</v>
      </c>
      <c r="I54" s="28">
        <f t="shared" ca="1" si="108"/>
        <v>15.819457528314457</v>
      </c>
      <c r="J54" s="28">
        <f t="shared" ca="1" si="109"/>
        <v>15.819457528314457</v>
      </c>
      <c r="K54" s="28">
        <f t="shared" ca="1" si="110"/>
        <v>15.819457528314457</v>
      </c>
      <c r="L54" s="28">
        <f t="shared" ca="1" si="111"/>
        <v>15.819457528314457</v>
      </c>
      <c r="M54" s="28">
        <f t="shared" ca="1" si="112"/>
        <v>15.819457528314457</v>
      </c>
      <c r="N54" s="28">
        <f t="shared" ca="1" si="113"/>
        <v>15.819457528314457</v>
      </c>
      <c r="O54" s="28">
        <f t="shared" ca="1" si="114"/>
        <v>15.819457528314457</v>
      </c>
      <c r="P54" s="28">
        <f t="shared" ca="1" si="115"/>
        <v>15.819457528314457</v>
      </c>
      <c r="Q54" s="28">
        <f t="shared" ca="1" si="116"/>
        <v>15.819457528314457</v>
      </c>
      <c r="R54" s="28">
        <f t="shared" ca="1" si="117"/>
        <v>15.819457528314457</v>
      </c>
      <c r="S54" s="28">
        <f t="shared" ca="1" si="118"/>
        <v>15.819457528314457</v>
      </c>
      <c r="T54" s="28">
        <f t="shared" ca="1" si="119"/>
        <v>15.819457528314457</v>
      </c>
      <c r="U54" s="28">
        <f t="shared" ca="1" si="120"/>
        <v>15.819457528314457</v>
      </c>
      <c r="V54" s="28">
        <f t="shared" ca="1" si="121"/>
        <v>15.819457528314457</v>
      </c>
      <c r="W54" s="28">
        <f t="shared" ca="1" si="122"/>
        <v>15.819457528314457</v>
      </c>
      <c r="X54" s="28">
        <f t="shared" ca="1" si="123"/>
        <v>15.819457528314457</v>
      </c>
      <c r="Y54" s="28">
        <f t="shared" ca="1" si="124"/>
        <v>15.819457528314457</v>
      </c>
      <c r="Z54" s="28">
        <f t="shared" ca="1" si="125"/>
        <v>15.819457528314457</v>
      </c>
      <c r="AA54" s="28">
        <f t="shared" ca="1" si="126"/>
        <v>15.819457528314457</v>
      </c>
      <c r="AB54" s="28">
        <f t="shared" ca="1" si="127"/>
        <v>15.819457528314457</v>
      </c>
      <c r="AC54" s="28">
        <f t="shared" ca="1" si="128"/>
        <v>15.819457528314457</v>
      </c>
      <c r="AD54" s="28">
        <f t="shared" ca="1" si="129"/>
        <v>15.819457528314457</v>
      </c>
      <c r="AE54" s="28">
        <f t="shared" ca="1" si="130"/>
        <v>15.819457528314457</v>
      </c>
      <c r="AF54" s="28">
        <f t="shared" ca="1" si="131"/>
        <v>15.819457528314457</v>
      </c>
    </row>
    <row r="55" spans="1:35" x14ac:dyDescent="0.45">
      <c r="A55" t="s">
        <v>410</v>
      </c>
      <c r="B55">
        <f ca="1">IF($I$1="LDV", OFFSET(A91,0,MATCH($F$1,$B$62:$H$62,0)),  IF($I$1="HDV", OFFSET(J89,0,MATCH($F$1,$B$62:$H$62,0)),  0))</f>
        <v>12.901527799999998</v>
      </c>
      <c r="C55" s="28">
        <f t="shared" ca="1" si="102"/>
        <v>12.901527799999998</v>
      </c>
      <c r="D55" s="28">
        <f t="shared" ca="1" si="103"/>
        <v>12.901527799999998</v>
      </c>
      <c r="E55" s="28">
        <f t="shared" ca="1" si="104"/>
        <v>12.901527799999998</v>
      </c>
      <c r="F55" s="28">
        <f t="shared" ca="1" si="105"/>
        <v>12.901527799999998</v>
      </c>
      <c r="G55" s="28">
        <f t="shared" ca="1" si="106"/>
        <v>12.901527799999998</v>
      </c>
      <c r="H55" s="28">
        <f t="shared" ca="1" si="107"/>
        <v>12.901527799999998</v>
      </c>
      <c r="I55" s="28">
        <f t="shared" ca="1" si="108"/>
        <v>12.901527799999998</v>
      </c>
      <c r="J55" s="28">
        <f t="shared" ca="1" si="109"/>
        <v>12.901527799999998</v>
      </c>
      <c r="K55" s="28">
        <f t="shared" ca="1" si="110"/>
        <v>12.901527799999998</v>
      </c>
      <c r="L55" s="28">
        <f t="shared" ca="1" si="111"/>
        <v>12.901527799999998</v>
      </c>
      <c r="M55" s="28">
        <f t="shared" ca="1" si="112"/>
        <v>12.901527799999998</v>
      </c>
      <c r="N55" s="28">
        <f t="shared" ca="1" si="113"/>
        <v>12.901527799999998</v>
      </c>
      <c r="O55" s="28">
        <f t="shared" ca="1" si="114"/>
        <v>12.901527799999998</v>
      </c>
      <c r="P55" s="28">
        <f t="shared" ca="1" si="115"/>
        <v>12.901527799999998</v>
      </c>
      <c r="Q55" s="28">
        <f t="shared" ca="1" si="116"/>
        <v>12.901527799999998</v>
      </c>
      <c r="R55" s="28">
        <f t="shared" ca="1" si="117"/>
        <v>12.901527799999998</v>
      </c>
      <c r="S55" s="28">
        <f t="shared" ca="1" si="118"/>
        <v>12.901527799999998</v>
      </c>
      <c r="T55" s="28">
        <f t="shared" ca="1" si="119"/>
        <v>12.901527799999998</v>
      </c>
      <c r="U55" s="28">
        <f t="shared" ca="1" si="120"/>
        <v>12.901527799999998</v>
      </c>
      <c r="V55" s="28">
        <f t="shared" ca="1" si="121"/>
        <v>12.901527799999998</v>
      </c>
      <c r="W55" s="28">
        <f t="shared" ca="1" si="122"/>
        <v>12.901527799999998</v>
      </c>
      <c r="X55" s="28">
        <f t="shared" ca="1" si="123"/>
        <v>12.901527799999998</v>
      </c>
      <c r="Y55" s="28">
        <f t="shared" ca="1" si="124"/>
        <v>12.901527799999998</v>
      </c>
      <c r="Z55" s="28">
        <f t="shared" ca="1" si="125"/>
        <v>12.901527799999998</v>
      </c>
      <c r="AA55" s="28">
        <f t="shared" ca="1" si="126"/>
        <v>12.901527799999998</v>
      </c>
      <c r="AB55" s="28">
        <f t="shared" ca="1" si="127"/>
        <v>12.901527799999998</v>
      </c>
      <c r="AC55" s="28">
        <f t="shared" ca="1" si="128"/>
        <v>12.901527799999998</v>
      </c>
      <c r="AD55" s="28">
        <f t="shared" ca="1" si="129"/>
        <v>12.901527799999998</v>
      </c>
      <c r="AE55" s="28">
        <f t="shared" ca="1" si="130"/>
        <v>12.901527799999998</v>
      </c>
      <c r="AF55" s="28">
        <f t="shared" ca="1" si="131"/>
        <v>12.901527799999998</v>
      </c>
    </row>
    <row r="56" spans="1:35" x14ac:dyDescent="0.45">
      <c r="A56" t="s">
        <v>412</v>
      </c>
      <c r="B56">
        <f ca="1">IF($I$1="LDV", OFFSET(A92,0,MATCH($F$1,$B$62:$H$62,0)),  IF($I$1="HDV", OFFSET(J90,0,MATCH($F$1,$B$62:$H$62,0)),  0))</f>
        <v>8.2697932717950113</v>
      </c>
      <c r="C56" s="28">
        <f t="shared" ca="1" si="102"/>
        <v>8.2697932717950113</v>
      </c>
      <c r="D56" s="28">
        <f t="shared" ca="1" si="103"/>
        <v>8.2697932717950113</v>
      </c>
      <c r="E56" s="28">
        <f t="shared" ca="1" si="104"/>
        <v>8.2697932717950113</v>
      </c>
      <c r="F56" s="28">
        <f t="shared" ca="1" si="105"/>
        <v>8.2697932717950113</v>
      </c>
      <c r="G56" s="28">
        <f t="shared" ca="1" si="106"/>
        <v>8.2697932717950113</v>
      </c>
      <c r="H56" s="28">
        <f t="shared" ca="1" si="107"/>
        <v>8.2697932717950113</v>
      </c>
      <c r="I56" s="28">
        <f t="shared" ca="1" si="108"/>
        <v>8.2697932717950113</v>
      </c>
      <c r="J56" s="28">
        <f t="shared" ca="1" si="109"/>
        <v>8.2697932717950113</v>
      </c>
      <c r="K56" s="28">
        <f t="shared" ca="1" si="110"/>
        <v>8.2697932717950113</v>
      </c>
      <c r="L56" s="28">
        <f t="shared" ca="1" si="111"/>
        <v>8.2697932717950113</v>
      </c>
      <c r="M56" s="28">
        <f t="shared" ca="1" si="112"/>
        <v>8.2697932717950113</v>
      </c>
      <c r="N56" s="28">
        <f t="shared" ca="1" si="113"/>
        <v>8.2697932717950113</v>
      </c>
      <c r="O56" s="28">
        <f t="shared" ca="1" si="114"/>
        <v>8.2697932717950113</v>
      </c>
      <c r="P56" s="28">
        <f t="shared" ca="1" si="115"/>
        <v>8.2697932717950113</v>
      </c>
      <c r="Q56" s="28">
        <f t="shared" ca="1" si="116"/>
        <v>8.2697932717950113</v>
      </c>
      <c r="R56" s="28">
        <f t="shared" ca="1" si="117"/>
        <v>8.2697932717950113</v>
      </c>
      <c r="S56" s="28">
        <f t="shared" ca="1" si="118"/>
        <v>8.2697932717950113</v>
      </c>
      <c r="T56" s="28">
        <f t="shared" ca="1" si="119"/>
        <v>8.2697932717950113</v>
      </c>
      <c r="U56" s="28">
        <f t="shared" ca="1" si="120"/>
        <v>8.2697932717950113</v>
      </c>
      <c r="V56" s="28">
        <f t="shared" ca="1" si="121"/>
        <v>8.2697932717950113</v>
      </c>
      <c r="W56" s="28">
        <f t="shared" ca="1" si="122"/>
        <v>8.2697932717950113</v>
      </c>
      <c r="X56" s="28">
        <f t="shared" ca="1" si="123"/>
        <v>8.2697932717950113</v>
      </c>
      <c r="Y56" s="28">
        <f t="shared" ca="1" si="124"/>
        <v>8.2697932717950113</v>
      </c>
      <c r="Z56" s="28">
        <f t="shared" ca="1" si="125"/>
        <v>8.2697932717950113</v>
      </c>
      <c r="AA56" s="28">
        <f t="shared" ca="1" si="126"/>
        <v>8.2697932717950113</v>
      </c>
      <c r="AB56" s="28">
        <f t="shared" ca="1" si="127"/>
        <v>8.2697932717950113</v>
      </c>
      <c r="AC56" s="28">
        <f t="shared" ca="1" si="128"/>
        <v>8.2697932717950113</v>
      </c>
      <c r="AD56" s="28">
        <f t="shared" ca="1" si="129"/>
        <v>8.2697932717950113</v>
      </c>
      <c r="AE56" s="28">
        <f t="shared" ca="1" si="130"/>
        <v>8.2697932717950113</v>
      </c>
      <c r="AF56" s="28">
        <f t="shared" ca="1" si="131"/>
        <v>8.2697932717950113</v>
      </c>
    </row>
    <row r="57" spans="1:35" x14ac:dyDescent="0.45">
      <c r="A57" t="s">
        <v>51</v>
      </c>
      <c r="B57">
        <f ca="1">IF($I$1="LDV", OFFSET(A93,0,MATCH($F$1,$B$62:$H$62,0)),  IF($I$1="HDV", OFFSET(J91,0,MATCH($F$1,$B$62:$H$62,0)),  0))</f>
        <v>8.4861307492657652</v>
      </c>
      <c r="C57" s="28">
        <f t="shared" ref="C57:C58" ca="1" si="132">B57*(1+$C$9)</f>
        <v>8.4861307492657652</v>
      </c>
      <c r="D57" s="28">
        <f t="shared" ref="D57:D58" ca="1" si="133">C57*(1+$C$9)</f>
        <v>8.4861307492657652</v>
      </c>
      <c r="E57" s="28">
        <f t="shared" ref="E57:E58" ca="1" si="134">D57*(1+$C$9)</f>
        <v>8.4861307492657652</v>
      </c>
      <c r="F57" s="28">
        <f t="shared" ref="F57:F58" ca="1" si="135">E57*(1+$C$9)</f>
        <v>8.4861307492657652</v>
      </c>
      <c r="G57" s="28">
        <f t="shared" ref="G57:G58" ca="1" si="136">F57*(1+$C$9)</f>
        <v>8.4861307492657652</v>
      </c>
      <c r="H57" s="28">
        <f t="shared" ref="H57:H58" ca="1" si="137">G57*(1+$C$9)</f>
        <v>8.4861307492657652</v>
      </c>
      <c r="I57" s="28">
        <f t="shared" ref="I57:I58" ca="1" si="138">H57*(1+$C$9)</f>
        <v>8.4861307492657652</v>
      </c>
      <c r="J57" s="28">
        <f t="shared" ref="J57:J58" ca="1" si="139">I57*(1+$C$9)</f>
        <v>8.4861307492657652</v>
      </c>
      <c r="K57" s="28">
        <f t="shared" ref="K57:K58" ca="1" si="140">J57*(1+$C$9)</f>
        <v>8.4861307492657652</v>
      </c>
      <c r="L57" s="28">
        <f t="shared" ref="L57:L58" ca="1" si="141">K57*(1+$C$9)</f>
        <v>8.4861307492657652</v>
      </c>
      <c r="M57" s="28">
        <f t="shared" ref="M57:M58" ca="1" si="142">L57*(1+$C$9)</f>
        <v>8.4861307492657652</v>
      </c>
      <c r="N57" s="28">
        <f t="shared" ref="N57:N58" ca="1" si="143">M57*(1+$C$9)</f>
        <v>8.4861307492657652</v>
      </c>
      <c r="O57" s="28">
        <f t="shared" ref="O57:O58" ca="1" si="144">N57*(1+$C$9)</f>
        <v>8.4861307492657652</v>
      </c>
      <c r="P57" s="28">
        <f t="shared" ref="P57:P58" ca="1" si="145">O57*(1+$C$9)</f>
        <v>8.4861307492657652</v>
      </c>
      <c r="Q57" s="28">
        <f t="shared" ref="Q57:Q58" ca="1" si="146">P57*(1+$C$9)</f>
        <v>8.4861307492657652</v>
      </c>
      <c r="R57" s="28">
        <f t="shared" ref="R57:R58" ca="1" si="147">Q57*(1+$C$9)</f>
        <v>8.4861307492657652</v>
      </c>
      <c r="S57" s="28">
        <f t="shared" ref="S57:S58" ca="1" si="148">R57*(1+$C$9)</f>
        <v>8.4861307492657652</v>
      </c>
      <c r="T57" s="28">
        <f t="shared" ref="T57:T58" ca="1" si="149">S57*(1+$C$9)</f>
        <v>8.4861307492657652</v>
      </c>
      <c r="U57" s="28">
        <f t="shared" ref="U57:U58" ca="1" si="150">T57*(1+$C$9)</f>
        <v>8.4861307492657652</v>
      </c>
      <c r="V57" s="28">
        <f t="shared" ref="V57:V58" ca="1" si="151">U57*(1+$C$9)</f>
        <v>8.4861307492657652</v>
      </c>
      <c r="W57" s="28">
        <f t="shared" ref="W57:W58" ca="1" si="152">V57*(1+$C$9)</f>
        <v>8.4861307492657652</v>
      </c>
      <c r="X57" s="28">
        <f t="shared" ref="X57:X58" ca="1" si="153">W57*(1+$C$9)</f>
        <v>8.4861307492657652</v>
      </c>
      <c r="Y57" s="28">
        <f t="shared" ref="Y57:Y58" ca="1" si="154">X57*(1+$C$9)</f>
        <v>8.4861307492657652</v>
      </c>
      <c r="Z57" s="28">
        <f t="shared" ref="Z57:Z58" ca="1" si="155">Y57*(1+$C$9)</f>
        <v>8.4861307492657652</v>
      </c>
      <c r="AA57" s="28">
        <f t="shared" ref="AA57:AA58" ca="1" si="156">Z57*(1+$C$9)</f>
        <v>8.4861307492657652</v>
      </c>
      <c r="AB57" s="28">
        <f t="shared" ref="AB57:AB58" ca="1" si="157">AA57*(1+$C$9)</f>
        <v>8.4861307492657652</v>
      </c>
      <c r="AC57" s="28">
        <f t="shared" ref="AC57:AC58" ca="1" si="158">AB57*(1+$C$9)</f>
        <v>8.4861307492657652</v>
      </c>
      <c r="AD57" s="28">
        <f t="shared" ref="AD57:AD58" ca="1" si="159">AC57*(1+$C$9)</f>
        <v>8.4861307492657652</v>
      </c>
      <c r="AE57" s="28">
        <f t="shared" ref="AE57:AE58" ca="1" si="160">AD57*(1+$C$9)</f>
        <v>8.4861307492657652</v>
      </c>
      <c r="AF57" s="28">
        <f t="shared" ref="AF57:AF58" ca="1" si="161">AE57*(1+$C$9)</f>
        <v>8.4861307492657652</v>
      </c>
    </row>
    <row r="58" spans="1:35" x14ac:dyDescent="0.45">
      <c r="A58" t="s">
        <v>53</v>
      </c>
      <c r="B58">
        <f ca="1">IF($I$1="LDV", OFFSET(A94,0,MATCH($F$1,$B$62:$H$62,0)),  IF($I$1="HDV", OFFSET(J92,0,MATCH($F$1,$B$62:$H$62,0)),  0))</f>
        <v>8.1735264405984669</v>
      </c>
      <c r="C58" s="28">
        <f t="shared" ca="1" si="132"/>
        <v>8.1735264405984669</v>
      </c>
      <c r="D58" s="28">
        <f t="shared" ca="1" si="133"/>
        <v>8.1735264405984669</v>
      </c>
      <c r="E58" s="28">
        <f t="shared" ca="1" si="134"/>
        <v>8.1735264405984669</v>
      </c>
      <c r="F58" s="28">
        <f t="shared" ca="1" si="135"/>
        <v>8.1735264405984669</v>
      </c>
      <c r="G58" s="28">
        <f t="shared" ca="1" si="136"/>
        <v>8.1735264405984669</v>
      </c>
      <c r="H58" s="28">
        <f t="shared" ca="1" si="137"/>
        <v>8.1735264405984669</v>
      </c>
      <c r="I58" s="28">
        <f t="shared" ca="1" si="138"/>
        <v>8.1735264405984669</v>
      </c>
      <c r="J58" s="28">
        <f t="shared" ca="1" si="139"/>
        <v>8.1735264405984669</v>
      </c>
      <c r="K58" s="28">
        <f t="shared" ca="1" si="140"/>
        <v>8.1735264405984669</v>
      </c>
      <c r="L58" s="28">
        <f t="shared" ca="1" si="141"/>
        <v>8.1735264405984669</v>
      </c>
      <c r="M58" s="28">
        <f t="shared" ca="1" si="142"/>
        <v>8.1735264405984669</v>
      </c>
      <c r="N58" s="28">
        <f t="shared" ca="1" si="143"/>
        <v>8.1735264405984669</v>
      </c>
      <c r="O58" s="28">
        <f t="shared" ca="1" si="144"/>
        <v>8.1735264405984669</v>
      </c>
      <c r="P58" s="28">
        <f t="shared" ca="1" si="145"/>
        <v>8.1735264405984669</v>
      </c>
      <c r="Q58" s="28">
        <f t="shared" ca="1" si="146"/>
        <v>8.1735264405984669</v>
      </c>
      <c r="R58" s="28">
        <f t="shared" ca="1" si="147"/>
        <v>8.1735264405984669</v>
      </c>
      <c r="S58" s="28">
        <f t="shared" ca="1" si="148"/>
        <v>8.1735264405984669</v>
      </c>
      <c r="T58" s="28">
        <f t="shared" ca="1" si="149"/>
        <v>8.1735264405984669</v>
      </c>
      <c r="U58" s="28">
        <f t="shared" ca="1" si="150"/>
        <v>8.1735264405984669</v>
      </c>
      <c r="V58" s="28">
        <f t="shared" ca="1" si="151"/>
        <v>8.1735264405984669</v>
      </c>
      <c r="W58" s="28">
        <f t="shared" ca="1" si="152"/>
        <v>8.1735264405984669</v>
      </c>
      <c r="X58" s="28">
        <f t="shared" ca="1" si="153"/>
        <v>8.1735264405984669</v>
      </c>
      <c r="Y58" s="28">
        <f t="shared" ca="1" si="154"/>
        <v>8.1735264405984669</v>
      </c>
      <c r="Z58" s="28">
        <f t="shared" ca="1" si="155"/>
        <v>8.1735264405984669</v>
      </c>
      <c r="AA58" s="28">
        <f t="shared" ca="1" si="156"/>
        <v>8.1735264405984669</v>
      </c>
      <c r="AB58" s="28">
        <f t="shared" ca="1" si="157"/>
        <v>8.1735264405984669</v>
      </c>
      <c r="AC58" s="28">
        <f t="shared" ca="1" si="158"/>
        <v>8.1735264405984669</v>
      </c>
      <c r="AD58" s="28">
        <f t="shared" ca="1" si="159"/>
        <v>8.1735264405984669</v>
      </c>
      <c r="AE58" s="28">
        <f t="shared" ca="1" si="160"/>
        <v>8.1735264405984669</v>
      </c>
      <c r="AF58" s="28">
        <f t="shared" ca="1" si="161"/>
        <v>8.1735264405984669</v>
      </c>
    </row>
    <row r="61" spans="1:35" x14ac:dyDescent="0.45">
      <c r="B61" t="s">
        <v>337</v>
      </c>
      <c r="K61" t="s">
        <v>336</v>
      </c>
      <c r="T61" t="s">
        <v>331</v>
      </c>
      <c r="AC61" t="s">
        <v>332</v>
      </c>
    </row>
    <row r="62" spans="1:35" x14ac:dyDescent="0.45">
      <c r="B62" s="1">
        <v>2020</v>
      </c>
      <c r="C62" s="1">
        <v>2025</v>
      </c>
      <c r="D62" s="1">
        <v>2030</v>
      </c>
      <c r="E62" s="1">
        <v>2035</v>
      </c>
      <c r="F62" s="1">
        <v>2040</v>
      </c>
      <c r="G62" s="1">
        <v>2045</v>
      </c>
      <c r="H62" s="1">
        <v>2050</v>
      </c>
      <c r="K62" s="1">
        <v>2020</v>
      </c>
      <c r="L62" s="1">
        <v>2025</v>
      </c>
      <c r="M62" s="1">
        <v>2030</v>
      </c>
      <c r="N62" s="1">
        <v>2035</v>
      </c>
      <c r="O62" s="1">
        <v>2040</v>
      </c>
      <c r="P62" s="1">
        <v>2045</v>
      </c>
      <c r="Q62" s="1">
        <v>2050</v>
      </c>
      <c r="T62" s="1">
        <v>2020</v>
      </c>
      <c r="U62" s="1">
        <v>2025</v>
      </c>
      <c r="V62" s="1">
        <v>2030</v>
      </c>
      <c r="W62" s="1">
        <v>2035</v>
      </c>
      <c r="X62" s="1">
        <v>2040</v>
      </c>
      <c r="Y62" s="1">
        <v>2045</v>
      </c>
      <c r="Z62" s="1">
        <v>2050</v>
      </c>
      <c r="AC62" s="1">
        <v>2020</v>
      </c>
      <c r="AD62" s="1">
        <v>2025</v>
      </c>
      <c r="AE62" s="1">
        <v>2030</v>
      </c>
      <c r="AF62" s="1">
        <v>2035</v>
      </c>
      <c r="AG62" s="1">
        <v>2040</v>
      </c>
      <c r="AH62" s="1">
        <v>2045</v>
      </c>
      <c r="AI62" s="1">
        <v>2050</v>
      </c>
    </row>
    <row r="63" spans="1:35" x14ac:dyDescent="0.45">
      <c r="A63" t="s">
        <v>182</v>
      </c>
      <c r="B63" s="53">
        <v>2.64161</v>
      </c>
      <c r="C63" s="53">
        <v>2.627421</v>
      </c>
      <c r="D63" s="53">
        <v>2.8120669999999999</v>
      </c>
      <c r="E63" s="53">
        <v>2.981379</v>
      </c>
      <c r="F63" s="53">
        <v>3.108914</v>
      </c>
      <c r="G63" s="53">
        <v>3.2699579999999999</v>
      </c>
      <c r="H63" s="53">
        <v>3.4278719999999998</v>
      </c>
      <c r="I63" t="s">
        <v>333</v>
      </c>
      <c r="K63">
        <f t="shared" ref="K63:Q64" si="162">B63*137453/120080</f>
        <v>3.0237942982178545</v>
      </c>
      <c r="L63">
        <f t="shared" si="162"/>
        <v>3.007552454305463</v>
      </c>
      <c r="M63">
        <f t="shared" si="162"/>
        <v>3.2189127694120585</v>
      </c>
      <c r="N63">
        <f t="shared" si="162"/>
        <v>3.4127205836692207</v>
      </c>
      <c r="O63">
        <f t="shared" si="162"/>
        <v>3.5587071622418387</v>
      </c>
      <c r="P63">
        <f t="shared" si="162"/>
        <v>3.743050774267155</v>
      </c>
      <c r="Q63">
        <f t="shared" si="162"/>
        <v>3.9238115424383744</v>
      </c>
    </row>
    <row r="64" spans="1:35" x14ac:dyDescent="0.45">
      <c r="A64" t="s">
        <v>183</v>
      </c>
      <c r="B64">
        <f>1.0204*B63 + 0.30916</f>
        <v>3.0046588439999997</v>
      </c>
      <c r="C64">
        <f t="shared" ref="C64:H64" si="163">1.0204*C63 + 0.30916</f>
        <v>2.9901803883999998</v>
      </c>
      <c r="D64">
        <f t="shared" si="163"/>
        <v>3.1785931667999998</v>
      </c>
      <c r="E64">
        <f t="shared" si="163"/>
        <v>3.3513591315999998</v>
      </c>
      <c r="F64">
        <f t="shared" si="163"/>
        <v>3.4814958455999996</v>
      </c>
      <c r="G64">
        <f t="shared" si="163"/>
        <v>3.6458251431999997</v>
      </c>
      <c r="H64">
        <f t="shared" si="163"/>
        <v>3.8069605887999995</v>
      </c>
      <c r="K64">
        <f t="shared" si="162"/>
        <v>3.4393685216883076</v>
      </c>
      <c r="L64">
        <f t="shared" si="162"/>
        <v>3.4227953441601029</v>
      </c>
      <c r="M64">
        <f t="shared" si="162"/>
        <v>3.638467409694873</v>
      </c>
      <c r="N64">
        <f t="shared" si="162"/>
        <v>3.8362289033628811</v>
      </c>
      <c r="O64">
        <f t="shared" si="162"/>
        <v>3.9851936081383807</v>
      </c>
      <c r="P64">
        <f t="shared" si="162"/>
        <v>4.1732978298490142</v>
      </c>
      <c r="Q64">
        <f t="shared" si="162"/>
        <v>4.3577461176909251</v>
      </c>
    </row>
    <row r="65" spans="1:36" x14ac:dyDescent="0.45">
      <c r="A65" t="s">
        <v>48</v>
      </c>
      <c r="B65">
        <f t="shared" ref="B65:H65" si="164">K65*120080/137453</f>
        <v>2.5635188202512857</v>
      </c>
      <c r="C65">
        <f t="shared" si="164"/>
        <v>2.6947102366627136</v>
      </c>
      <c r="D65">
        <f t="shared" si="164"/>
        <v>2.8775379837471715</v>
      </c>
      <c r="E65">
        <f t="shared" si="164"/>
        <v>3.0291901662386413</v>
      </c>
      <c r="F65">
        <f t="shared" si="164"/>
        <v>3.1333346880751964</v>
      </c>
      <c r="G65">
        <f t="shared" si="164"/>
        <v>3.2887669711101251</v>
      </c>
      <c r="H65">
        <f t="shared" si="164"/>
        <v>3.3901255579725436</v>
      </c>
      <c r="K65" s="53">
        <v>2.9344049999999999</v>
      </c>
      <c r="L65" s="53">
        <v>3.0845769999999999</v>
      </c>
      <c r="M65" s="53">
        <v>3.2938559999999999</v>
      </c>
      <c r="N65" s="53">
        <v>3.4674489999999998</v>
      </c>
      <c r="O65" s="53">
        <v>3.5866609999999999</v>
      </c>
      <c r="P65" s="53">
        <v>3.7645810000000002</v>
      </c>
      <c r="Q65" s="53">
        <v>3.8806039999999999</v>
      </c>
      <c r="R65" t="s">
        <v>333</v>
      </c>
    </row>
    <row r="66" spans="1:36" x14ac:dyDescent="0.45">
      <c r="A66" t="s">
        <v>49</v>
      </c>
      <c r="B66">
        <f t="shared" ref="B66:H66" si="165">IF($F$9=TRUE,B77,B88)</f>
        <v>13.82</v>
      </c>
      <c r="C66">
        <f t="shared" si="165"/>
        <v>9.58</v>
      </c>
      <c r="D66">
        <f t="shared" si="165"/>
        <v>5.34</v>
      </c>
      <c r="E66">
        <f t="shared" si="165"/>
        <v>4.6449999999999996</v>
      </c>
      <c r="F66">
        <f t="shared" si="165"/>
        <v>3.95</v>
      </c>
      <c r="G66">
        <f t="shared" si="165"/>
        <v>3.95</v>
      </c>
      <c r="H66">
        <f t="shared" si="165"/>
        <v>3.95</v>
      </c>
      <c r="K66">
        <f t="shared" ref="K66:Q66" si="166">B66*137453/120080</f>
        <v>15.819457528314457</v>
      </c>
      <c r="L66">
        <f t="shared" si="166"/>
        <v>10.966020486342439</v>
      </c>
      <c r="M66">
        <f t="shared" si="166"/>
        <v>6.1125834443704194</v>
      </c>
      <c r="N66">
        <f t="shared" si="166"/>
        <v>5.3170318537641563</v>
      </c>
      <c r="O66">
        <f t="shared" si="166"/>
        <v>4.521480263157895</v>
      </c>
      <c r="P66">
        <f t="shared" si="166"/>
        <v>4.521480263157895</v>
      </c>
      <c r="Q66">
        <f t="shared" si="166"/>
        <v>4.521480263157895</v>
      </c>
    </row>
    <row r="67" spans="1:36" x14ac:dyDescent="0.45">
      <c r="A67" t="s">
        <v>52</v>
      </c>
      <c r="B67">
        <f>33.7*T67/100</f>
        <v>4.1771891400000003</v>
      </c>
      <c r="C67">
        <f t="shared" ref="C67:H67" si="167">33.7*U67/100</f>
        <v>4.3334978280000005</v>
      </c>
      <c r="D67">
        <f t="shared" si="167"/>
        <v>4.40095714</v>
      </c>
      <c r="E67">
        <f t="shared" si="167"/>
        <v>4.3804614740000005</v>
      </c>
      <c r="F67">
        <f t="shared" si="167"/>
        <v>4.327461821</v>
      </c>
      <c r="G67">
        <f t="shared" si="167"/>
        <v>4.2863188390000007</v>
      </c>
      <c r="H67">
        <f t="shared" si="167"/>
        <v>4.2180294960000007</v>
      </c>
      <c r="K67">
        <f>37.94567*AC67/100</f>
        <v>4.3907094128814004</v>
      </c>
      <c r="L67">
        <f t="shared" ref="L67:Q67" si="168">37.94567*AD67/100</f>
        <v>4.6788790761922998</v>
      </c>
      <c r="M67">
        <f t="shared" si="168"/>
        <v>4.7519681284628001</v>
      </c>
      <c r="N67">
        <f t="shared" si="168"/>
        <v>4.7349749190667003</v>
      </c>
      <c r="O67">
        <f t="shared" si="168"/>
        <v>4.6108591859771</v>
      </c>
      <c r="P67">
        <f t="shared" si="168"/>
        <v>4.4896007618385001</v>
      </c>
      <c r="Q67">
        <f t="shared" si="168"/>
        <v>4.3734297136768001</v>
      </c>
      <c r="T67" s="53">
        <v>12.39522</v>
      </c>
      <c r="U67" s="53">
        <v>12.859044000000001</v>
      </c>
      <c r="V67" s="53">
        <v>13.05922</v>
      </c>
      <c r="W67" s="53">
        <v>12.998402</v>
      </c>
      <c r="X67" s="53">
        <v>12.841132999999999</v>
      </c>
      <c r="Y67" s="53">
        <v>12.719047</v>
      </c>
      <c r="Z67" s="53">
        <v>12.516408</v>
      </c>
      <c r="AA67" t="s">
        <v>334</v>
      </c>
      <c r="AC67" s="53">
        <v>11.571042</v>
      </c>
      <c r="AD67" s="53">
        <v>12.330469000000001</v>
      </c>
      <c r="AE67" s="53">
        <v>12.523084000000001</v>
      </c>
      <c r="AF67" s="53">
        <v>12.478301</v>
      </c>
      <c r="AG67" s="53">
        <v>12.151213</v>
      </c>
      <c r="AH67" s="53">
        <v>11.831655</v>
      </c>
      <c r="AI67" s="53">
        <v>11.525504</v>
      </c>
      <c r="AJ67" t="s">
        <v>335</v>
      </c>
    </row>
    <row r="68" spans="1:36" x14ac:dyDescent="0.45">
      <c r="A68" t="s">
        <v>411</v>
      </c>
      <c r="B68">
        <f ca="1">B63*(1-$N$9) + 'Fuel Prices'!B67*$N$9</f>
        <v>3.4037137653782872</v>
      </c>
      <c r="C68">
        <f ca="1">C63*(1-$N$9) + 'Fuel Prices'!C67*$N$9</f>
        <v>3.4741423058412897</v>
      </c>
      <c r="D68">
        <f ca="1">D63*(1-$N$9) + 'Fuel Prices'!D67*$N$9</f>
        <v>3.6006288701921374</v>
      </c>
      <c r="E68">
        <f ca="1">E63*(1-$N$9) + 'Fuel Prices'!E67*$N$9</f>
        <v>3.6757398399826071</v>
      </c>
      <c r="F68">
        <f ca="1">F63*(1-$N$9) + 'Fuel Prices'!F67*$N$9</f>
        <v>3.7136759809927913</v>
      </c>
      <c r="G68">
        <f ca="1">G63*(1-$N$9) + 'Fuel Prices'!G67*$N$9</f>
        <v>3.7743751298035058</v>
      </c>
      <c r="H68">
        <f ca="1">H63*(1-$N$9) + 'Fuel Prices'!H67*$N$9</f>
        <v>3.8200250237402673</v>
      </c>
      <c r="K68">
        <f ca="1">K63*(1-$N$9) + 'Fuel Prices'!K67*$N$9</f>
        <v>3.7021905649433724</v>
      </c>
      <c r="L68">
        <f ca="1">L63*(1-$N$9) + 'Fuel Prices'!L67*$N$9</f>
        <v>3.8370273270345434</v>
      </c>
      <c r="M68">
        <f ca="1">M63*(1-$N$9) + 'Fuel Prices'!M67*$N$9</f>
        <v>3.9797639891453067</v>
      </c>
      <c r="N68">
        <f ca="1">N63*(1-$N$9) + 'Fuel Prices'!N67*$N$9</f>
        <v>4.0689518266868774</v>
      </c>
      <c r="O68">
        <f ca="1">O63*(1-$N$9) + 'Fuel Prices'!O67*$N$9</f>
        <v>4.080887360026388</v>
      </c>
      <c r="P68">
        <f ca="1">P63*(1-$N$9) + 'Fuel Prices'!P67*$N$9</f>
        <v>4.1135615097615403</v>
      </c>
      <c r="Q68">
        <f ca="1">Q63*(1-$N$9) + 'Fuel Prices'!Q67*$N$9</f>
        <v>4.1469558222462544</v>
      </c>
    </row>
    <row r="69" spans="1:36" x14ac:dyDescent="0.45">
      <c r="A69" t="s">
        <v>410</v>
      </c>
      <c r="B69">
        <f ca="1">B64*(1-$N$9) + 'Fuel Prices'!B67*$N$9</f>
        <v>3.5865824520542988</v>
      </c>
      <c r="C69">
        <f ca="1">C64*(1-$N$9) + 'Fuel Prices'!C67*$N$9</f>
        <v>3.6568651929470843</v>
      </c>
      <c r="D69">
        <f ca="1">D64*(1-$N$9) + 'Fuel Prices'!D67*$N$9</f>
        <v>3.7852490937869243</v>
      </c>
      <c r="E69">
        <f ca="1">E64*(1-$N$9) + 'Fuel Prices'!E67*$N$9</f>
        <v>3.8620998350082631</v>
      </c>
      <c r="F69">
        <f ca="1">F64*(1-$N$9) + 'Fuel Prices'!F67*$N$9</f>
        <v>3.9013464664115429</v>
      </c>
      <c r="G69">
        <f ca="1">G64*(1-$N$9) + 'Fuel Prices'!G67*$N$9</f>
        <v>3.9637004285273556</v>
      </c>
      <c r="H69">
        <f ca="1">H64*(1-$N$9) + 'Fuel Prices'!H67*$N$9</f>
        <v>4.0109729733437609</v>
      </c>
      <c r="K69">
        <f ca="1">K64*(1-$N$9) + 'Fuel Prices'!K67*$N$9</f>
        <v>3.9115164276155729</v>
      </c>
      <c r="L69">
        <f ca="1">L64*(1-$N$9) + 'Fuel Prices'!L67*$N$9</f>
        <v>4.0461862960664625</v>
      </c>
      <c r="M69">
        <f ca="1">M64*(1-$N$9) + 'Fuel Prices'!M67*$N$9</f>
        <v>4.1910947985538192</v>
      </c>
      <c r="N69">
        <f ca="1">N64*(1-$N$9) + 'Fuel Prices'!N67*$N$9</f>
        <v>4.2822741151300932</v>
      </c>
      <c r="O69">
        <f ca="1">O64*(1-$N$9) + 'Fuel Prices'!O67*$N$9</f>
        <v>4.295709738709462</v>
      </c>
      <c r="P69">
        <f ca="1">P64*(1-$N$9) + 'Fuel Prices'!P67*$N$9</f>
        <v>4.3302781177353022</v>
      </c>
      <c r="Q69">
        <f ca="1">Q64*(1-$N$9) + 'Fuel Prices'!Q67*$N$9</f>
        <v>4.3655298438722454</v>
      </c>
    </row>
    <row r="70" spans="1:36" x14ac:dyDescent="0.45">
      <c r="A70" t="s">
        <v>412</v>
      </c>
      <c r="B70">
        <f ca="1">B65*(1-$N$9) + 'Fuel Prices'!B67*$N$9</f>
        <v>3.3643790264922222</v>
      </c>
      <c r="C70">
        <f ca="1">C65*(1-$N$9) + 'Fuel Prices'!C67*$N$9</f>
        <v>3.5080360767189678</v>
      </c>
      <c r="D70">
        <f ca="1">D65*(1-$N$9) + 'Fuel Prices'!D67*$N$9</f>
        <v>3.6336067821483362</v>
      </c>
      <c r="E70">
        <f ca="1">E65*(1-$N$9) + 'Fuel Prices'!E67*$N$9</f>
        <v>3.6998224539972351</v>
      </c>
      <c r="F70">
        <f ca="1">F65*(1-$N$9) + 'Fuel Prices'!F67*$N$9</f>
        <v>3.7259767477624433</v>
      </c>
      <c r="G70">
        <f ca="1">G65*(1-$N$9) + 'Fuel Prices'!G67*$N$9</f>
        <v>3.7838492595286937</v>
      </c>
      <c r="H70">
        <f ca="1">H65*(1-$N$9) + 'Fuel Prices'!H67*$N$9</f>
        <v>3.8010120385887345</v>
      </c>
      <c r="K70">
        <f ca="1">K65*(1-$N$9) + 'Fuel Prices'!K67*$N$9</f>
        <v>3.6571649331636733</v>
      </c>
      <c r="L70">
        <f ca="1">L65*(1-$N$9) + 'Fuel Prices'!L67*$N$9</f>
        <v>3.8758247994566739</v>
      </c>
      <c r="M70">
        <f ca="1">M65*(1-$N$9) + 'Fuel Prices'!M67*$N$9</f>
        <v>4.0175130975073605</v>
      </c>
      <c r="N70">
        <f ca="1">N65*(1-$N$9) + 'Fuel Prices'!N67*$N$9</f>
        <v>4.0965186783203933</v>
      </c>
      <c r="O70">
        <f ca="1">O65*(1-$N$9) + 'Fuel Prices'!O67*$N$9</f>
        <v>4.0949677838670686</v>
      </c>
      <c r="P70">
        <f ca="1">P65*(1-$N$9) + 'Fuel Prices'!P67*$N$9</f>
        <v>4.1244063428154734</v>
      </c>
      <c r="Q70">
        <f ca="1">Q65*(1-$N$9) + 'Fuel Prices'!Q67*$N$9</f>
        <v>4.125192066016794</v>
      </c>
    </row>
    <row r="71" spans="1:36" x14ac:dyDescent="0.45">
      <c r="A71" t="s">
        <v>51</v>
      </c>
      <c r="B71" s="53">
        <v>1.5953663429306897</v>
      </c>
      <c r="C71" s="53">
        <v>1.4782106486760527</v>
      </c>
      <c r="D71" s="53">
        <v>1.4526101925309336</v>
      </c>
      <c r="E71" s="53">
        <v>1.375541165769876</v>
      </c>
      <c r="F71" s="53">
        <v>1.3475555605339686</v>
      </c>
      <c r="G71" s="53">
        <v>1.3362006754121851</v>
      </c>
      <c r="H71" s="53">
        <v>1.3541969453153861</v>
      </c>
      <c r="I71" t="s">
        <v>338</v>
      </c>
      <c r="K71">
        <f t="shared" ref="K71:Q72" si="169">B71*137453/120080</f>
        <v>1.8261816283715195</v>
      </c>
      <c r="L71">
        <f t="shared" si="169"/>
        <v>1.6920760184249624</v>
      </c>
      <c r="M71">
        <f t="shared" si="169"/>
        <v>1.6627717254659762</v>
      </c>
      <c r="N71">
        <f t="shared" si="169"/>
        <v>1.5745524638454929</v>
      </c>
      <c r="O71">
        <f t="shared" si="169"/>
        <v>1.5425179418893702</v>
      </c>
      <c r="P71">
        <f t="shared" si="169"/>
        <v>1.529520248479606</v>
      </c>
      <c r="Q71">
        <f t="shared" si="169"/>
        <v>1.5501201925752481</v>
      </c>
    </row>
    <row r="72" spans="1:36" x14ac:dyDescent="0.45">
      <c r="A72" t="s">
        <v>53</v>
      </c>
      <c r="B72">
        <f t="shared" ref="B72:H72" si="170">T72*120080/95022</f>
        <v>2.9083504392666959</v>
      </c>
      <c r="C72">
        <f t="shared" si="170"/>
        <v>3.3424730896003028</v>
      </c>
      <c r="D72">
        <f t="shared" si="170"/>
        <v>3.6058145372650547</v>
      </c>
      <c r="E72">
        <f t="shared" si="170"/>
        <v>3.9318927364189347</v>
      </c>
      <c r="F72">
        <f t="shared" si="170"/>
        <v>4.2717049070741506</v>
      </c>
      <c r="G72">
        <f t="shared" si="170"/>
        <v>4.6510963919934332</v>
      </c>
      <c r="H72">
        <f t="shared" si="170"/>
        <v>5.2653870632064157</v>
      </c>
      <c r="K72">
        <f t="shared" si="169"/>
        <v>3.3291263568331542</v>
      </c>
      <c r="L72">
        <f t="shared" si="169"/>
        <v>3.8260572417124448</v>
      </c>
      <c r="M72">
        <f t="shared" si="169"/>
        <v>4.1274985475574084</v>
      </c>
      <c r="N72">
        <f t="shared" si="169"/>
        <v>4.5007532669802783</v>
      </c>
      <c r="O72">
        <f t="shared" si="169"/>
        <v>4.8897289689545573</v>
      </c>
      <c r="P72">
        <f t="shared" si="169"/>
        <v>5.324010262897013</v>
      </c>
      <c r="Q72">
        <f t="shared" si="169"/>
        <v>6.0271756162467636</v>
      </c>
      <c r="T72" s="53">
        <v>2.3014429999999999</v>
      </c>
      <c r="U72" s="53">
        <v>2.6449739999999999</v>
      </c>
      <c r="V72" s="53">
        <v>2.8533620000000002</v>
      </c>
      <c r="W72" s="53">
        <v>3.1113949999999999</v>
      </c>
      <c r="X72" s="53">
        <v>3.380296</v>
      </c>
      <c r="Y72" s="53">
        <v>3.680517</v>
      </c>
      <c r="Z72" s="53">
        <v>4.1666189999999999</v>
      </c>
      <c r="AA72" t="s">
        <v>341</v>
      </c>
    </row>
    <row r="74" spans="1:36" x14ac:dyDescent="0.45">
      <c r="A74" t="s">
        <v>182</v>
      </c>
      <c r="B74" s="53">
        <v>2.1344509999999999</v>
      </c>
      <c r="C74" s="53">
        <v>2.0112019999999999</v>
      </c>
      <c r="D74" s="53">
        <v>2.0895030000000001</v>
      </c>
      <c r="E74" s="53">
        <v>2.1253989999999998</v>
      </c>
      <c r="F74" s="53">
        <v>2.176053</v>
      </c>
      <c r="G74" s="53">
        <v>2.2022390000000001</v>
      </c>
      <c r="H74" s="53">
        <v>2.2006130000000002</v>
      </c>
      <c r="I74" t="s">
        <v>344</v>
      </c>
      <c r="K74">
        <f t="shared" ref="K74:Q75" si="171">B74*137453/120080</f>
        <v>2.4432602706778814</v>
      </c>
      <c r="L74">
        <f t="shared" si="171"/>
        <v>2.3021797843604261</v>
      </c>
      <c r="M74">
        <f t="shared" si="171"/>
        <v>2.3918092593187876</v>
      </c>
      <c r="N74">
        <f t="shared" si="171"/>
        <v>2.43289864046469</v>
      </c>
      <c r="O74">
        <f t="shared" si="171"/>
        <v>2.4908811876165888</v>
      </c>
      <c r="P74">
        <f t="shared" si="171"/>
        <v>2.5208557400649569</v>
      </c>
      <c r="Q74">
        <f t="shared" si="171"/>
        <v>2.5189944927465024</v>
      </c>
    </row>
    <row r="75" spans="1:36" x14ac:dyDescent="0.45">
      <c r="A75" t="s">
        <v>183</v>
      </c>
      <c r="B75">
        <f t="shared" ref="B75:H75" si="172">1.0204*B74 + 0.30916</f>
        <v>2.4871538003999998</v>
      </c>
      <c r="C75">
        <f t="shared" si="172"/>
        <v>2.3613905207999997</v>
      </c>
      <c r="D75">
        <f t="shared" si="172"/>
        <v>2.4412888611999999</v>
      </c>
      <c r="E75">
        <f t="shared" si="172"/>
        <v>2.4779171395999997</v>
      </c>
      <c r="F75">
        <f t="shared" si="172"/>
        <v>2.5296044811999998</v>
      </c>
      <c r="G75">
        <f t="shared" si="172"/>
        <v>2.5563246756</v>
      </c>
      <c r="H75">
        <f t="shared" si="172"/>
        <v>2.5546655052</v>
      </c>
      <c r="K75">
        <f t="shared" si="171"/>
        <v>2.8469915999865187</v>
      </c>
      <c r="L75">
        <f t="shared" si="171"/>
        <v>2.7030330717481874</v>
      </c>
      <c r="M75">
        <f t="shared" si="171"/>
        <v>2.7944909879956992</v>
      </c>
      <c r="N75">
        <f t="shared" si="171"/>
        <v>2.8364185925169783</v>
      </c>
      <c r="O75">
        <f t="shared" si="171"/>
        <v>2.8955839836307757</v>
      </c>
      <c r="P75">
        <f t="shared" si="171"/>
        <v>2.9261700169490905</v>
      </c>
      <c r="Q75">
        <f t="shared" si="171"/>
        <v>2.9242708001853397</v>
      </c>
    </row>
    <row r="76" spans="1:36" x14ac:dyDescent="0.45">
      <c r="A76" t="s">
        <v>48</v>
      </c>
      <c r="B76">
        <f t="shared" ref="B76:H76" si="173">K76*120080/137453</f>
        <v>2.0398975807003121</v>
      </c>
      <c r="C76">
        <f t="shared" si="173"/>
        <v>2.0727286318959939</v>
      </c>
      <c r="D76">
        <f t="shared" si="173"/>
        <v>2.1634091117691141</v>
      </c>
      <c r="E76">
        <f t="shared" si="173"/>
        <v>2.18583462157974</v>
      </c>
      <c r="F76">
        <f t="shared" si="173"/>
        <v>2.2155241794649809</v>
      </c>
      <c r="G76">
        <f t="shared" si="173"/>
        <v>2.2281006359992142</v>
      </c>
      <c r="H76">
        <f t="shared" si="173"/>
        <v>2.2411235060711663</v>
      </c>
      <c r="K76" s="53">
        <v>2.3350270000000002</v>
      </c>
      <c r="L76" s="53">
        <v>2.3726080000000001</v>
      </c>
      <c r="M76" s="53">
        <v>2.4764080000000002</v>
      </c>
      <c r="N76" s="53">
        <v>2.502078</v>
      </c>
      <c r="O76" s="53">
        <v>2.536063</v>
      </c>
      <c r="P76" s="53">
        <v>2.550459</v>
      </c>
      <c r="Q76" s="53">
        <v>2.565366</v>
      </c>
      <c r="R76" t="s">
        <v>344</v>
      </c>
    </row>
    <row r="77" spans="1:36" x14ac:dyDescent="0.45">
      <c r="A77" t="s">
        <v>49</v>
      </c>
      <c r="B77">
        <v>13.82</v>
      </c>
      <c r="C77">
        <f>AVERAGE(B77,D77)</f>
        <v>9.58</v>
      </c>
      <c r="D77">
        <v>5.34</v>
      </c>
      <c r="E77">
        <f>AVERAGE(D77,F77)</f>
        <v>4.6449999999999996</v>
      </c>
      <c r="F77">
        <v>3.95</v>
      </c>
      <c r="G77">
        <f>AVERAGE(F77,H77)</f>
        <v>3.95</v>
      </c>
      <c r="H77">
        <v>3.95</v>
      </c>
      <c r="K77" s="56">
        <f t="shared" ref="K77:Q77" si="174">B77*137453/120080</f>
        <v>15.819457528314457</v>
      </c>
      <c r="L77" s="56">
        <f t="shared" si="174"/>
        <v>10.966020486342439</v>
      </c>
      <c r="M77" s="56">
        <f t="shared" si="174"/>
        <v>6.1125834443704194</v>
      </c>
      <c r="N77" s="56">
        <f t="shared" si="174"/>
        <v>5.3170318537641563</v>
      </c>
      <c r="O77" s="56">
        <f t="shared" si="174"/>
        <v>4.521480263157895</v>
      </c>
      <c r="P77" s="56">
        <f t="shared" si="174"/>
        <v>4.521480263157895</v>
      </c>
      <c r="Q77" s="56">
        <f t="shared" si="174"/>
        <v>4.521480263157895</v>
      </c>
    </row>
    <row r="78" spans="1:36" x14ac:dyDescent="0.45">
      <c r="A78" t="s">
        <v>52</v>
      </c>
      <c r="B78">
        <f t="shared" ref="B78:H78" si="175">33.7*T78/100</f>
        <v>2.6960000000000002</v>
      </c>
      <c r="C78">
        <f t="shared" si="175"/>
        <v>2.6960000000000002</v>
      </c>
      <c r="D78">
        <f t="shared" si="175"/>
        <v>2.6960000000000002</v>
      </c>
      <c r="E78">
        <f t="shared" si="175"/>
        <v>2.6960000000000002</v>
      </c>
      <c r="F78">
        <f t="shared" si="175"/>
        <v>2.6960000000000002</v>
      </c>
      <c r="G78">
        <f t="shared" si="175"/>
        <v>2.6960000000000002</v>
      </c>
      <c r="H78">
        <f t="shared" si="175"/>
        <v>2.6960000000000002</v>
      </c>
      <c r="K78">
        <f>37.94567*AC78/100</f>
        <v>3.9131195184109</v>
      </c>
      <c r="L78">
        <f t="shared" ref="L78:Q78" si="176">37.94567*AD78/100</f>
        <v>3.9412118362819997</v>
      </c>
      <c r="M78">
        <f t="shared" si="176"/>
        <v>3.9403865179594999</v>
      </c>
      <c r="N78">
        <f t="shared" si="176"/>
        <v>3.8627344988715002</v>
      </c>
      <c r="O78">
        <f t="shared" si="176"/>
        <v>3.7857594305363</v>
      </c>
      <c r="P78">
        <f t="shared" si="176"/>
        <v>3.7313054968028001</v>
      </c>
      <c r="Q78">
        <f t="shared" si="176"/>
        <v>3.6603797271789995</v>
      </c>
      <c r="T78" s="53">
        <v>8</v>
      </c>
      <c r="U78" s="53">
        <v>8</v>
      </c>
      <c r="V78" s="53">
        <v>8</v>
      </c>
      <c r="W78" s="53">
        <v>8</v>
      </c>
      <c r="X78" s="53">
        <v>8</v>
      </c>
      <c r="Y78" s="53">
        <v>8</v>
      </c>
      <c r="Z78" s="53">
        <v>8</v>
      </c>
      <c r="AA78" t="s">
        <v>347</v>
      </c>
      <c r="AC78" s="53">
        <v>10.312427</v>
      </c>
      <c r="AD78" s="53">
        <v>10.38646</v>
      </c>
      <c r="AE78" s="53">
        <v>10.384285</v>
      </c>
      <c r="AF78" s="53">
        <v>10.179645000000001</v>
      </c>
      <c r="AG78" s="53">
        <v>9.9767890000000001</v>
      </c>
      <c r="AH78" s="53">
        <v>9.8332840000000008</v>
      </c>
      <c r="AI78" s="53">
        <v>9.6463699999999992</v>
      </c>
      <c r="AJ78" t="s">
        <v>391</v>
      </c>
    </row>
    <row r="79" spans="1:36" x14ac:dyDescent="0.45">
      <c r="A79" t="s">
        <v>411</v>
      </c>
      <c r="B79">
        <f ca="1">B74*(1-$N$9) + 'Fuel Prices'!B78*$N$9</f>
        <v>2.4131462467616953</v>
      </c>
      <c r="C79">
        <f ca="1">C74*(1-$N$9) + 'Fuel Prices'!C78*$N$9</f>
        <v>2.3510653914260651</v>
      </c>
      <c r="D79">
        <f ca="1">D74*(1-$N$9) + 'Fuel Prices'!D78*$N$9</f>
        <v>2.390505817341368</v>
      </c>
      <c r="E79">
        <f ca="1">E74*(1-$N$9) + 'Fuel Prices'!E78*$N$9</f>
        <v>2.4085867298285102</v>
      </c>
      <c r="F79">
        <f ca="1">F74*(1-$N$9) + 'Fuel Prices'!F78*$N$9</f>
        <v>2.434101286913525</v>
      </c>
      <c r="G79">
        <f ca="1">G74*(1-$N$9) + 'Fuel Prices'!G78*$N$9</f>
        <v>2.4472912460841378</v>
      </c>
      <c r="H79">
        <f ca="1">H74*(1-$N$9) + 'Fuel Prices'!H78*$N$9</f>
        <v>2.4464722254772706</v>
      </c>
      <c r="K79">
        <f ca="1">K74*(1-$N$9) + 'Fuel Prices'!K78*$N$9</f>
        <v>3.1727474316414184</v>
      </c>
      <c r="L79">
        <f ca="1">L74*(1-$N$9) + 'Fuel Prices'!L78*$N$9</f>
        <v>3.1156269495421123</v>
      </c>
      <c r="M79">
        <f ca="1">M74*(1-$N$9) + 'Fuel Prices'!M78*$N$9</f>
        <v>3.1603639557503058</v>
      </c>
      <c r="N79">
        <f ca="1">N74*(1-$N$9) + 'Fuel Prices'!N78*$N$9</f>
        <v>3.1425223017790298</v>
      </c>
      <c r="O79">
        <f ca="1">O74*(1-$N$9) + 'Fuel Prices'!O78*$N$9</f>
        <v>3.1335257501335896</v>
      </c>
      <c r="P79">
        <f ca="1">P74*(1-$N$9) + 'Fuel Prices'!P78*$N$9</f>
        <v>3.1215986737122203</v>
      </c>
      <c r="Q79">
        <f ca="1">Q74*(1-$N$9) + 'Fuel Prices'!Q78*$N$9</f>
        <v>3.0854608911557602</v>
      </c>
    </row>
    <row r="80" spans="1:36" x14ac:dyDescent="0.45">
      <c r="A80" t="s">
        <v>410</v>
      </c>
      <c r="B80">
        <f ca="1">B75*(1-$N$9) + 'Fuel Prices'!B78*$N$9</f>
        <v>2.59080360323602</v>
      </c>
      <c r="C80">
        <f ca="1">C75*(1-$N$9) + 'Fuel Prices'!C78*$N$9</f>
        <v>2.527456298451543</v>
      </c>
      <c r="D80">
        <f ca="1">D75*(1-$N$9) + 'Fuel Prices'!D78*$N$9</f>
        <v>2.5677013090555185</v>
      </c>
      <c r="E80">
        <f ca="1">E75*(1-$N$9) + 'Fuel Prices'!E78*$N$9</f>
        <v>2.5861510721573979</v>
      </c>
      <c r="F80">
        <f ca="1">F75*(1-$N$9) + 'Fuel Prices'!F78*$N$9</f>
        <v>2.6121861262069475</v>
      </c>
      <c r="G80">
        <f ca="1">G75*(1-$N$9) + 'Fuel Prices'!G78*$N$9</f>
        <v>2.6256451605446403</v>
      </c>
      <c r="H80">
        <f ca="1">H75*(1-$N$9) + 'Fuel Prices'!H78*$N$9</f>
        <v>2.6248094319173934</v>
      </c>
      <c r="K80">
        <f ca="1">K75*(1-$N$9) + 'Fuel Prices'!K78*$N$9</f>
        <v>3.3761079964271059</v>
      </c>
      <c r="L80">
        <f ca="1">L75*(1-$N$9) + 'Fuel Prices'!L78*$N$9</f>
        <v>3.3175378368120407</v>
      </c>
      <c r="M80">
        <f ca="1">M75*(1-$N$9) + 'Fuel Prices'!M78*$N$9</f>
        <v>3.3631958338531129</v>
      </c>
      <c r="N80">
        <f ca="1">N75*(1-$N$9) + 'Fuel Prices'!N78*$N$9</f>
        <v>3.3457763952678095</v>
      </c>
      <c r="O80">
        <f ca="1">O75*(1-$N$9) + 'Fuel Prices'!O78*$N$9</f>
        <v>3.3373756453317802</v>
      </c>
      <c r="P80">
        <f ca="1">P75*(1-$N$9) + 'Fuel Prices'!P78*$N$9</f>
        <v>3.3257565734818693</v>
      </c>
      <c r="Q80">
        <f ca="1">Q75*(1-$N$9) + 'Fuel Prices'!Q78*$N$9</f>
        <v>3.2895996656129065</v>
      </c>
    </row>
    <row r="81" spans="1:36" x14ac:dyDescent="0.45">
      <c r="A81" t="s">
        <v>412</v>
      </c>
      <c r="B81">
        <f ca="1">B76*(1-$N$9) + 'Fuel Prices'!B78*$N$9</f>
        <v>2.3655194331970164</v>
      </c>
      <c r="C81">
        <f ca="1">C76*(1-$N$9) + 'Fuel Prices'!C78*$N$9</f>
        <v>2.3820565226646453</v>
      </c>
      <c r="D81">
        <f ca="1">D76*(1-$N$9) + 'Fuel Prices'!D78*$N$9</f>
        <v>2.4277325261435267</v>
      </c>
      <c r="E81">
        <f ca="1">E76*(1-$N$9) + 'Fuel Prices'!E78*$N$9</f>
        <v>2.4390283162138822</v>
      </c>
      <c r="F81">
        <f ca="1">F76*(1-$N$9) + 'Fuel Prices'!F78*$N$9</f>
        <v>2.4539830269868093</v>
      </c>
      <c r="G81">
        <f ca="1">G76*(1-$N$9) + 'Fuel Prices'!G78*$N$9</f>
        <v>2.460317822228447</v>
      </c>
      <c r="H81">
        <f ca="1">H76*(1-$N$9) + 'Fuel Prices'!H78*$N$9</f>
        <v>2.4668774771789255</v>
      </c>
      <c r="K81">
        <f ca="1">K76*(1-$N$9) + 'Fuel Prices'!K78*$N$9</f>
        <v>3.1182300398617233</v>
      </c>
      <c r="L81">
        <f ca="1">L76*(1-$N$9) + 'Fuel Prices'!L78*$N$9</f>
        <v>3.1511018326378526</v>
      </c>
      <c r="M81">
        <f ca="1">M76*(1-$N$9) + 'Fuel Prices'!M78*$N$9</f>
        <v>3.2029765707151889</v>
      </c>
      <c r="N81">
        <f ca="1">N76*(1-$N$9) + 'Fuel Prices'!N78*$N$9</f>
        <v>3.1773681326703405</v>
      </c>
      <c r="O81">
        <f ca="1">O76*(1-$N$9) + 'Fuel Prices'!O78*$N$9</f>
        <v>3.1562839514851309</v>
      </c>
      <c r="P81">
        <f ca="1">P76*(1-$N$9) + 'Fuel Prices'!P78*$N$9</f>
        <v>3.1365099159737433</v>
      </c>
      <c r="Q81">
        <f ca="1">Q76*(1-$N$9) + 'Fuel Prices'!Q78*$N$9</f>
        <v>3.1088183450377347</v>
      </c>
    </row>
    <row r="82" spans="1:36" x14ac:dyDescent="0.45">
      <c r="A82" t="s">
        <v>51</v>
      </c>
      <c r="B82" s="56">
        <f t="shared" ref="B82:H82" si="177">B71</f>
        <v>1.5953663429306897</v>
      </c>
      <c r="C82" s="56">
        <f t="shared" si="177"/>
        <v>1.4782106486760527</v>
      </c>
      <c r="D82" s="56">
        <f t="shared" si="177"/>
        <v>1.4526101925309336</v>
      </c>
      <c r="E82" s="56">
        <f t="shared" si="177"/>
        <v>1.375541165769876</v>
      </c>
      <c r="F82" s="56">
        <f t="shared" si="177"/>
        <v>1.3475555605339686</v>
      </c>
      <c r="G82" s="56">
        <f t="shared" si="177"/>
        <v>1.3362006754121851</v>
      </c>
      <c r="H82" s="56">
        <f t="shared" si="177"/>
        <v>1.3541969453153861</v>
      </c>
      <c r="K82" s="56">
        <f t="shared" ref="K82:Q83" si="178">B82*137453/120080</f>
        <v>1.8261816283715195</v>
      </c>
      <c r="L82" s="56">
        <f t="shared" si="178"/>
        <v>1.6920760184249624</v>
      </c>
      <c r="M82" s="56">
        <f t="shared" si="178"/>
        <v>1.6627717254659762</v>
      </c>
      <c r="N82" s="56">
        <f t="shared" si="178"/>
        <v>1.5745524638454929</v>
      </c>
      <c r="O82" s="56">
        <f t="shared" si="178"/>
        <v>1.5425179418893702</v>
      </c>
      <c r="P82" s="56">
        <f t="shared" si="178"/>
        <v>1.529520248479606</v>
      </c>
      <c r="Q82" s="56">
        <f t="shared" si="178"/>
        <v>1.5501201925752481</v>
      </c>
    </row>
    <row r="83" spans="1:36" x14ac:dyDescent="0.45">
      <c r="A83" t="s">
        <v>53</v>
      </c>
      <c r="B83">
        <f t="shared" ref="B83:H83" si="179">T83*120080/95022</f>
        <v>2.6919620382648226</v>
      </c>
      <c r="C83">
        <f t="shared" si="179"/>
        <v>2.5466647580560289</v>
      </c>
      <c r="D83">
        <f t="shared" si="179"/>
        <v>2.5866914247226958</v>
      </c>
      <c r="E83">
        <f t="shared" si="179"/>
        <v>2.8831217856917348</v>
      </c>
      <c r="F83">
        <f t="shared" si="179"/>
        <v>3.1488743869840667</v>
      </c>
      <c r="G83">
        <f t="shared" si="179"/>
        <v>3.458600213003304</v>
      </c>
      <c r="H83">
        <f t="shared" si="179"/>
        <v>3.4867480305613436</v>
      </c>
      <c r="K83">
        <f t="shared" si="178"/>
        <v>3.0814311962492891</v>
      </c>
      <c r="L83">
        <f t="shared" si="178"/>
        <v>2.915112516564585</v>
      </c>
      <c r="M83">
        <f t="shared" si="178"/>
        <v>2.9609301832312518</v>
      </c>
      <c r="N83">
        <f t="shared" si="178"/>
        <v>3.3002476583001834</v>
      </c>
      <c r="O83">
        <f t="shared" si="178"/>
        <v>3.6044489599776894</v>
      </c>
      <c r="P83">
        <f t="shared" si="178"/>
        <v>3.9589854686704125</v>
      </c>
      <c r="Q83">
        <f t="shared" si="178"/>
        <v>3.991205671591842</v>
      </c>
      <c r="T83" s="53">
        <v>2.1302099999999999</v>
      </c>
      <c r="U83" s="53">
        <v>2.0152329999999998</v>
      </c>
      <c r="V83" s="53">
        <v>2.046907</v>
      </c>
      <c r="W83" s="53">
        <v>2.281479</v>
      </c>
      <c r="X83" s="53">
        <v>2.4917750000000001</v>
      </c>
      <c r="Y83" s="53">
        <v>2.7368679999999999</v>
      </c>
      <c r="Z83" s="53">
        <v>2.7591420000000002</v>
      </c>
      <c r="AA83" t="s">
        <v>342</v>
      </c>
    </row>
    <row r="85" spans="1:36" x14ac:dyDescent="0.45">
      <c r="A85" t="s">
        <v>182</v>
      </c>
      <c r="B85" s="53">
        <v>3.2377250000000002</v>
      </c>
      <c r="C85" s="53">
        <v>3.8748330000000002</v>
      </c>
      <c r="D85" s="53">
        <v>4.1836209999999996</v>
      </c>
      <c r="E85" s="53">
        <v>4.5329839999999999</v>
      </c>
      <c r="F85" s="53">
        <v>4.7475420000000002</v>
      </c>
      <c r="G85" s="53">
        <v>4.8501200000000004</v>
      </c>
      <c r="H85" s="53">
        <v>5.0074059999999996</v>
      </c>
      <c r="I85" t="s">
        <v>345</v>
      </c>
      <c r="K85">
        <f t="shared" ref="K85:Q86" si="180">B85*137453/120080</f>
        <v>3.7061543506412393</v>
      </c>
      <c r="L85">
        <f t="shared" si="180"/>
        <v>4.4354382107678214</v>
      </c>
      <c r="M85">
        <f t="shared" si="180"/>
        <v>4.7889012101349095</v>
      </c>
      <c r="N85">
        <f t="shared" si="180"/>
        <v>5.1888095415722848</v>
      </c>
      <c r="O85">
        <f t="shared" si="180"/>
        <v>5.4344094813957371</v>
      </c>
      <c r="P85">
        <f t="shared" si="180"/>
        <v>5.5518283174550307</v>
      </c>
      <c r="Q85">
        <f t="shared" si="180"/>
        <v>5.7318702274983337</v>
      </c>
    </row>
    <row r="86" spans="1:36" x14ac:dyDescent="0.45">
      <c r="A86" t="s">
        <v>183</v>
      </c>
      <c r="B86">
        <f t="shared" ref="B86:H86" si="181">1.0204*B85 + 0.30916</f>
        <v>3.6129345900000001</v>
      </c>
      <c r="C86">
        <f t="shared" si="181"/>
        <v>4.2630395932000003</v>
      </c>
      <c r="D86">
        <f t="shared" si="181"/>
        <v>4.5781268684</v>
      </c>
      <c r="E86">
        <f t="shared" si="181"/>
        <v>4.9346168736000005</v>
      </c>
      <c r="F86">
        <f t="shared" si="181"/>
        <v>5.1535518568000001</v>
      </c>
      <c r="G86">
        <f t="shared" si="181"/>
        <v>5.2582224480000006</v>
      </c>
      <c r="H86">
        <f t="shared" si="181"/>
        <v>5.4187170823999997</v>
      </c>
      <c r="K86">
        <f t="shared" si="180"/>
        <v>4.1356487191811295</v>
      </c>
      <c r="L86">
        <f t="shared" si="180"/>
        <v>4.8798099700542936</v>
      </c>
      <c r="M86">
        <f t="shared" si="180"/>
        <v>5.240483614608471</v>
      </c>
      <c r="N86">
        <f t="shared" si="180"/>
        <v>5.6485500760071687</v>
      </c>
      <c r="O86">
        <f t="shared" si="180"/>
        <v>5.899160254603018</v>
      </c>
      <c r="P86">
        <f t="shared" si="180"/>
        <v>6.0189744349179222</v>
      </c>
      <c r="Q86">
        <f t="shared" si="180"/>
        <v>6.2026891999261089</v>
      </c>
    </row>
    <row r="87" spans="1:36" x14ac:dyDescent="0.45">
      <c r="A87" t="s">
        <v>48</v>
      </c>
      <c r="B87">
        <f t="shared" ref="B87:H87" si="182">K87*120080/137453</f>
        <v>3.0707625361396258</v>
      </c>
      <c r="C87">
        <f t="shared" si="182"/>
        <v>3.8959339364000782</v>
      </c>
      <c r="D87">
        <f t="shared" si="182"/>
        <v>4.2353480022989682</v>
      </c>
      <c r="E87">
        <f t="shared" si="182"/>
        <v>4.526763440012223</v>
      </c>
      <c r="F87">
        <f t="shared" si="182"/>
        <v>4.7580825300284459</v>
      </c>
      <c r="G87">
        <f t="shared" si="182"/>
        <v>4.9614252068707119</v>
      </c>
      <c r="H87">
        <f t="shared" si="182"/>
        <v>5.0492463687223994</v>
      </c>
      <c r="K87" s="53">
        <v>3.5150359999999998</v>
      </c>
      <c r="L87" s="53">
        <v>4.4595919999999998</v>
      </c>
      <c r="M87" s="53">
        <v>4.8481120000000004</v>
      </c>
      <c r="N87" s="53">
        <v>5.1816890000000004</v>
      </c>
      <c r="O87" s="53">
        <v>5.4464750000000004</v>
      </c>
      <c r="P87" s="53">
        <v>5.6792369999999996</v>
      </c>
      <c r="Q87" s="53">
        <v>5.7797640000000001</v>
      </c>
      <c r="R87" t="s">
        <v>345</v>
      </c>
    </row>
    <row r="88" spans="1:36" x14ac:dyDescent="0.45">
      <c r="A88" t="s">
        <v>49</v>
      </c>
      <c r="B88">
        <v>13.82</v>
      </c>
      <c r="C88">
        <f>AVERAGE(B88,D88)</f>
        <v>12.39</v>
      </c>
      <c r="D88">
        <v>10.96</v>
      </c>
      <c r="E88">
        <f>AVERAGE(D88,F88)</f>
        <v>9.5950000000000006</v>
      </c>
      <c r="F88">
        <v>8.23</v>
      </c>
      <c r="G88">
        <f>AVERAGE(F88,H88)</f>
        <v>8.0650000000000013</v>
      </c>
      <c r="H88">
        <v>7.9</v>
      </c>
      <c r="K88">
        <f t="shared" ref="K88:Q88" si="183">B88*137453/120080</f>
        <v>15.819457528314457</v>
      </c>
      <c r="L88">
        <f t="shared" si="183"/>
        <v>14.182567205196538</v>
      </c>
      <c r="M88">
        <f t="shared" si="183"/>
        <v>12.545676882078615</v>
      </c>
      <c r="N88">
        <f t="shared" si="183"/>
        <v>10.983190664556963</v>
      </c>
      <c r="O88">
        <f t="shared" si="183"/>
        <v>9.420704447035309</v>
      </c>
      <c r="P88">
        <f t="shared" si="183"/>
        <v>9.2318324866755503</v>
      </c>
      <c r="Q88">
        <f t="shared" si="183"/>
        <v>9.0429605263157899</v>
      </c>
    </row>
    <row r="89" spans="1:36" x14ac:dyDescent="0.45">
      <c r="A89" t="s">
        <v>52</v>
      </c>
      <c r="B89">
        <f t="shared" ref="B89:H89" si="184">33.7*T89/100</f>
        <v>9.0990000000000002</v>
      </c>
      <c r="C89">
        <f t="shared" si="184"/>
        <v>9.0990000000000002</v>
      </c>
      <c r="D89">
        <f t="shared" si="184"/>
        <v>9.0990000000000002</v>
      </c>
      <c r="E89">
        <f t="shared" si="184"/>
        <v>9.0990000000000002</v>
      </c>
      <c r="F89">
        <f t="shared" si="184"/>
        <v>9.0990000000000002</v>
      </c>
      <c r="G89">
        <f t="shared" si="184"/>
        <v>9.0990000000000002</v>
      </c>
      <c r="H89">
        <f t="shared" si="184"/>
        <v>9.0990000000000002</v>
      </c>
      <c r="K89">
        <f>37.94567*AC89/100</f>
        <v>12.901527799999998</v>
      </c>
      <c r="L89">
        <f t="shared" ref="L89:Q89" si="185">37.94567*AD89/100</f>
        <v>12.901527799999998</v>
      </c>
      <c r="M89">
        <f t="shared" si="185"/>
        <v>12.901527799999998</v>
      </c>
      <c r="N89">
        <f t="shared" si="185"/>
        <v>12.901527799999998</v>
      </c>
      <c r="O89">
        <f t="shared" si="185"/>
        <v>12.901527799999998</v>
      </c>
      <c r="P89">
        <f t="shared" si="185"/>
        <v>12.901527799999998</v>
      </c>
      <c r="Q89">
        <f t="shared" si="185"/>
        <v>12.901527799999998</v>
      </c>
      <c r="T89" s="53">
        <v>27</v>
      </c>
      <c r="U89" s="53">
        <v>27</v>
      </c>
      <c r="V89" s="53">
        <v>27</v>
      </c>
      <c r="W89" s="53">
        <v>27</v>
      </c>
      <c r="X89" s="53">
        <v>27</v>
      </c>
      <c r="Y89" s="53">
        <v>27</v>
      </c>
      <c r="Z89" s="53">
        <v>27</v>
      </c>
      <c r="AA89" t="s">
        <v>346</v>
      </c>
      <c r="AC89" s="53">
        <v>34</v>
      </c>
      <c r="AD89" s="53">
        <v>34</v>
      </c>
      <c r="AE89" s="53">
        <v>34</v>
      </c>
      <c r="AF89" s="53">
        <v>34</v>
      </c>
      <c r="AG89" s="53">
        <v>34</v>
      </c>
      <c r="AH89" s="53">
        <v>34</v>
      </c>
      <c r="AI89" s="53">
        <v>34</v>
      </c>
      <c r="AJ89" t="s">
        <v>392</v>
      </c>
    </row>
    <row r="90" spans="1:36" x14ac:dyDescent="0.45">
      <c r="A90" t="s">
        <v>411</v>
      </c>
      <c r="B90">
        <f ca="1">B85*(1-$N$9) + 'Fuel Prices'!B89*$N$9</f>
        <v>6.1466598969780994</v>
      </c>
      <c r="C90">
        <f ca="1">C85*(1-$N$9) + 'Fuel Prices'!C89*$N$9</f>
        <v>6.4675729233002013</v>
      </c>
      <c r="D90">
        <f ca="1">D85*(1-$N$9) + 'Fuel Prices'!D89*$N$9</f>
        <v>6.6231102757929481</v>
      </c>
      <c r="E90">
        <f ca="1">E85*(1-$N$9) + 'Fuel Prices'!E89*$N$9</f>
        <v>6.7990853657540988</v>
      </c>
      <c r="F90">
        <f ca="1">F85*(1-$N$9) + 'Fuel Prices'!F89*$N$9</f>
        <v>6.9071588118599667</v>
      </c>
      <c r="G90">
        <f ca="1">G85*(1-$N$9) + 'Fuel Prices'!G89*$N$9</f>
        <v>6.9588276284720152</v>
      </c>
      <c r="H90">
        <f ca="1">H85*(1-$N$9) + 'Fuel Prices'!H89*$N$9</f>
        <v>7.038053012956432</v>
      </c>
      <c r="K90">
        <f ca="1">K85*(1-$N$9) + 'Fuel Prices'!K89*$N$9</f>
        <v>8.2697932717950113</v>
      </c>
      <c r="L90">
        <f ca="1">L85*(1-$N$9) + 'Fuel Prices'!L89*$N$9</f>
        <v>8.6371355286825189</v>
      </c>
      <c r="M90">
        <f ca="1">M85*(1-$N$9) + 'Fuel Prices'!M89*$N$9</f>
        <v>8.8151757994368953</v>
      </c>
      <c r="N90">
        <f ca="1">N85*(1-$N$9) + 'Fuel Prices'!N89*$N$9</f>
        <v>9.0166107098335466</v>
      </c>
      <c r="O90">
        <f ca="1">O85*(1-$N$9) + 'Fuel Prices'!O89*$N$9</f>
        <v>9.1403200651599121</v>
      </c>
      <c r="P90">
        <f ca="1">P85*(1-$N$9) + 'Fuel Prices'!P89*$N$9</f>
        <v>9.1994642511174067</v>
      </c>
      <c r="Q90">
        <f ca="1">Q85*(1-$N$9) + 'Fuel Prices'!Q89*$N$9</f>
        <v>9.2901518491648467</v>
      </c>
    </row>
    <row r="91" spans="1:36" x14ac:dyDescent="0.45">
      <c r="A91" t="s">
        <v>410</v>
      </c>
      <c r="B91">
        <f ca="1">B86*(1-$N$9) + 'Fuel Prices'!B89*$N$9</f>
        <v>6.3356539843729767</v>
      </c>
      <c r="C91">
        <f ca="1">C86*(1-$N$9) + 'Fuel Prices'!C89*$N$9</f>
        <v>6.6631136364320493</v>
      </c>
      <c r="D91">
        <f ca="1">D86*(1-$N$9) + 'Fuel Prices'!D89*$N$9</f>
        <v>6.8218239509156486</v>
      </c>
      <c r="E91">
        <f ca="1">E86*(1-$N$9) + 'Fuel Prices'!E89*$N$9</f>
        <v>7.0013889327120058</v>
      </c>
      <c r="F91">
        <f ca="1">F86*(1-$N$9) + 'Fuel Prices'!F89*$N$9</f>
        <v>7.1116670771184332</v>
      </c>
      <c r="G91">
        <f ca="1">G86*(1-$N$9) + 'Fuel Prices'!G89*$N$9</f>
        <v>7.1643899375893678</v>
      </c>
      <c r="H91">
        <f ca="1">H86*(1-$N$9) + 'Fuel Prices'!H89*$N$9</f>
        <v>7.2452315199172661</v>
      </c>
      <c r="K91">
        <f ca="1">K86*(1-$N$9) + 'Fuel Prices'!K89*$N$9</f>
        <v>8.4861307492657652</v>
      </c>
      <c r="L91">
        <f ca="1">L86*(1-$N$9) + 'Fuel Prices'!L89*$N$9</f>
        <v>8.8609667881937764</v>
      </c>
      <c r="M91">
        <f ca="1">M86*(1-$N$9) + 'Fuel Prices'!M89*$N$9</f>
        <v>9.0426390804715417</v>
      </c>
      <c r="N91">
        <f ca="1">N86*(1-$N$9) + 'Fuel Prices'!N89*$N$9</f>
        <v>9.2481832630402856</v>
      </c>
      <c r="O91">
        <f ca="1">O86*(1-$N$9) + 'Fuel Prices'!O89*$N$9</f>
        <v>9.3744162892153096</v>
      </c>
      <c r="P91">
        <f ca="1">P86*(1-$N$9) + 'Fuel Prices'!P89*$N$9</f>
        <v>9.4347670165663367</v>
      </c>
      <c r="Q91">
        <f ca="1">Q86*(1-$N$9) + 'Fuel Prices'!Q89*$N$9</f>
        <v>9.5273046416139433</v>
      </c>
    </row>
    <row r="92" spans="1:36" x14ac:dyDescent="0.45">
      <c r="A92" t="s">
        <v>412</v>
      </c>
      <c r="B92">
        <f ca="1">B87*(1-$N$9) + 'Fuel Prices'!B89*$N$9</f>
        <v>6.0625604514215734</v>
      </c>
      <c r="C92">
        <f ca="1">C87*(1-$N$9) + 'Fuel Prices'!C89*$N$9</f>
        <v>6.4782015221537383</v>
      </c>
      <c r="D92">
        <f ca="1">D87*(1-$N$9) + 'Fuel Prices'!D89*$N$9</f>
        <v>6.6491653070440586</v>
      </c>
      <c r="E92">
        <f ca="1">E87*(1-$N$9) + 'Fuel Prices'!E89*$N$9</f>
        <v>6.7959520528289818</v>
      </c>
      <c r="F92">
        <f ca="1">F87*(1-$N$9) + 'Fuel Prices'!F89*$N$9</f>
        <v>6.9124681054027697</v>
      </c>
      <c r="G92">
        <f ca="1">G87*(1-$N$9) + 'Fuel Prices'!G89*$N$9</f>
        <v>7.0148923628377542</v>
      </c>
      <c r="H92">
        <f ca="1">H87*(1-$N$9) + 'Fuel Prices'!H89*$N$9</f>
        <v>7.0591281200797731</v>
      </c>
      <c r="K92">
        <f ca="1">K87*(1-$N$9) + 'Fuel Prices'!K89*$N$9</f>
        <v>8.1735264405984669</v>
      </c>
      <c r="L92">
        <f ca="1">L87*(1-$N$9) + 'Fuel Prices'!L89*$N$9</f>
        <v>8.6493018577815803</v>
      </c>
      <c r="M92">
        <f ca="1">M87*(1-$N$9) + 'Fuel Prices'!M89*$N$9</f>
        <v>8.8450004347679982</v>
      </c>
      <c r="N92">
        <f ca="1">N87*(1-$N$9) + 'Fuel Prices'!N89*$N$9</f>
        <v>9.0130240737451395</v>
      </c>
      <c r="O92">
        <f ca="1">O87*(1-$N$9) + 'Fuel Prices'!O89*$N$9</f>
        <v>9.1463974995814556</v>
      </c>
      <c r="P92">
        <f ca="1">P87*(1-$N$9) + 'Fuel Prices'!P89*$N$9</f>
        <v>9.2636403498247191</v>
      </c>
      <c r="Q92">
        <f ca="1">Q87*(1-$N$9) + 'Fuel Prices'!Q89*$N$9</f>
        <v>9.3142760721780427</v>
      </c>
    </row>
    <row r="93" spans="1:36" x14ac:dyDescent="0.45">
      <c r="A93" t="s">
        <v>51</v>
      </c>
      <c r="B93" s="53">
        <v>2.0473234568289755</v>
      </c>
      <c r="C93" s="53">
        <v>1.8969783013031376</v>
      </c>
      <c r="D93" s="53">
        <v>1.8641253991445388</v>
      </c>
      <c r="E93" s="53">
        <v>1.7652232084457919</v>
      </c>
      <c r="F93" s="53">
        <v>1.7293094596651972</v>
      </c>
      <c r="G93" s="53">
        <v>1.7147378079800295</v>
      </c>
      <c r="H93" s="53">
        <v>1.7378323064138914</v>
      </c>
      <c r="I93" t="s">
        <v>339</v>
      </c>
      <c r="K93">
        <f t="shared" ref="K93:Q94" si="186">B93*137453/120080</f>
        <v>2.3435272411018753</v>
      </c>
      <c r="L93">
        <f t="shared" si="186"/>
        <v>2.1714303668306143</v>
      </c>
      <c r="M93">
        <f t="shared" si="186"/>
        <v>2.1338243545021176</v>
      </c>
      <c r="N93">
        <f t="shared" si="186"/>
        <v>2.0206131384951651</v>
      </c>
      <c r="O93">
        <f t="shared" si="186"/>
        <v>1.9795034407008691</v>
      </c>
      <c r="P93">
        <f t="shared" si="186"/>
        <v>1.9628235836132495</v>
      </c>
      <c r="Q93">
        <f t="shared" si="186"/>
        <v>1.9892593605388793</v>
      </c>
    </row>
    <row r="94" spans="1:36" x14ac:dyDescent="0.45">
      <c r="A94" t="s">
        <v>53</v>
      </c>
      <c r="B94">
        <f t="shared" ref="B94:H94" si="187">T94*120080/95022</f>
        <v>4.3243307360400749</v>
      </c>
      <c r="C94">
        <f t="shared" si="187"/>
        <v>5.2593452783565917</v>
      </c>
      <c r="D94">
        <f t="shared" si="187"/>
        <v>5.2903617116036292</v>
      </c>
      <c r="E94">
        <f t="shared" si="187"/>
        <v>6.0204509423080967</v>
      </c>
      <c r="F94">
        <f t="shared" si="187"/>
        <v>6.1220631230662379</v>
      </c>
      <c r="G94">
        <f t="shared" si="187"/>
        <v>5.8780526067647498</v>
      </c>
      <c r="H94">
        <f t="shared" si="187"/>
        <v>6.2334563987287144</v>
      </c>
      <c r="K94">
        <f t="shared" si="186"/>
        <v>4.9499686264233542</v>
      </c>
      <c r="L94">
        <f t="shared" si="186"/>
        <v>6.020259714739745</v>
      </c>
      <c r="M94">
        <f t="shared" si="186"/>
        <v>6.055763560501779</v>
      </c>
      <c r="N94">
        <f t="shared" si="186"/>
        <v>6.8914810407484577</v>
      </c>
      <c r="O94">
        <f t="shared" si="186"/>
        <v>7.0077943242407033</v>
      </c>
      <c r="P94">
        <f t="shared" si="186"/>
        <v>6.7284807208330708</v>
      </c>
      <c r="Q94">
        <f t="shared" si="186"/>
        <v>7.1353038172423213</v>
      </c>
      <c r="T94" s="53">
        <v>3.4219400000000002</v>
      </c>
      <c r="U94" s="53">
        <v>4.1618380000000004</v>
      </c>
      <c r="V94" s="53">
        <v>4.186382</v>
      </c>
      <c r="W94" s="53">
        <v>4.7641179999999999</v>
      </c>
      <c r="X94" s="53">
        <v>4.8445260000000001</v>
      </c>
      <c r="Y94" s="53">
        <v>4.6514350000000002</v>
      </c>
      <c r="Z94" s="53">
        <v>4.9326739999999996</v>
      </c>
      <c r="AA94" t="s">
        <v>343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43"/>
  <sheetViews>
    <sheetView workbookViewId="0">
      <selection activeCell="B2" sqref="B2"/>
    </sheetView>
  </sheetViews>
  <sheetFormatPr defaultRowHeight="14.25" x14ac:dyDescent="0.45"/>
  <cols>
    <col min="1" max="1" width="22.265625" customWidth="1"/>
    <col min="3" max="3" width="9.59765625" bestFit="1" customWidth="1"/>
    <col min="4" max="4" width="11.265625" customWidth="1"/>
  </cols>
  <sheetData>
    <row r="1" spans="1:32" x14ac:dyDescent="0.45">
      <c r="A1" t="s">
        <v>9</v>
      </c>
      <c r="B1" s="6" t="str">
        <f>Dashboard!B20</f>
        <v>BEV</v>
      </c>
      <c r="C1" t="s">
        <v>61</v>
      </c>
      <c r="D1" s="6" t="str">
        <f>Dashboard!B3</f>
        <v>Class 8 Bus</v>
      </c>
      <c r="E1">
        <f>MATCH(D1,Lists!$T$6:$T$22,0)</f>
        <v>16</v>
      </c>
    </row>
    <row r="3" spans="1:32"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row>
    <row r="4" spans="1:32" x14ac:dyDescent="0.45">
      <c r="A4" t="s">
        <v>26</v>
      </c>
      <c r="B4" s="14">
        <f ca="1">IF($E$1&gt;10,B26,B9)</f>
        <v>0</v>
      </c>
      <c r="C4" s="14">
        <f ca="1">IF($E$1&gt;10,C26,C9)</f>
        <v>35000</v>
      </c>
      <c r="D4" s="14">
        <f t="shared" ref="D4:AF4" ca="1" si="0">IF($E$1&gt;10,D26,D9)</f>
        <v>35000</v>
      </c>
      <c r="E4" s="14">
        <f t="shared" ca="1" si="0"/>
        <v>35000</v>
      </c>
      <c r="F4" s="14">
        <f t="shared" ca="1" si="0"/>
        <v>35000</v>
      </c>
      <c r="G4" s="14">
        <f t="shared" ca="1" si="0"/>
        <v>35000</v>
      </c>
      <c r="H4" s="14">
        <f t="shared" ca="1" si="0"/>
        <v>35000</v>
      </c>
      <c r="I4" s="14">
        <f t="shared" ca="1" si="0"/>
        <v>35000</v>
      </c>
      <c r="J4" s="14">
        <f t="shared" ca="1" si="0"/>
        <v>35000</v>
      </c>
      <c r="K4" s="14">
        <f t="shared" ca="1" si="0"/>
        <v>35000</v>
      </c>
      <c r="L4" s="14">
        <f t="shared" ca="1" si="0"/>
        <v>35000</v>
      </c>
      <c r="M4" s="14">
        <f t="shared" ca="1" si="0"/>
        <v>35000</v>
      </c>
      <c r="N4" s="14">
        <f t="shared" ca="1" si="0"/>
        <v>35000</v>
      </c>
      <c r="O4" s="14">
        <f t="shared" ca="1" si="0"/>
        <v>35000</v>
      </c>
      <c r="P4" s="14">
        <f t="shared" ca="1" si="0"/>
        <v>35000</v>
      </c>
      <c r="Q4" s="14">
        <f t="shared" ca="1" si="0"/>
        <v>35000</v>
      </c>
      <c r="R4" s="14">
        <f t="shared" ca="1" si="0"/>
        <v>35000</v>
      </c>
      <c r="S4" s="14">
        <f t="shared" ca="1" si="0"/>
        <v>35000</v>
      </c>
      <c r="T4" s="14">
        <f t="shared" ca="1" si="0"/>
        <v>35000</v>
      </c>
      <c r="U4" s="14">
        <f t="shared" ca="1" si="0"/>
        <v>35000</v>
      </c>
      <c r="V4" s="14">
        <f t="shared" ca="1" si="0"/>
        <v>35000</v>
      </c>
      <c r="W4" s="14">
        <f t="shared" ca="1" si="0"/>
        <v>35000</v>
      </c>
      <c r="X4" s="14">
        <f t="shared" ca="1" si="0"/>
        <v>35000</v>
      </c>
      <c r="Y4" s="14">
        <f t="shared" ca="1" si="0"/>
        <v>35000</v>
      </c>
      <c r="Z4" s="14">
        <f t="shared" ca="1" si="0"/>
        <v>35000</v>
      </c>
      <c r="AA4" s="14">
        <f t="shared" ca="1" si="0"/>
        <v>35000</v>
      </c>
      <c r="AB4" s="14">
        <f t="shared" ca="1" si="0"/>
        <v>35000</v>
      </c>
      <c r="AC4" s="14">
        <f t="shared" ca="1" si="0"/>
        <v>35000</v>
      </c>
      <c r="AD4" s="14">
        <f t="shared" ca="1" si="0"/>
        <v>35000</v>
      </c>
      <c r="AE4" s="14">
        <f t="shared" ca="1" si="0"/>
        <v>35000</v>
      </c>
      <c r="AF4" s="14">
        <f t="shared" ca="1" si="0"/>
        <v>35000</v>
      </c>
    </row>
    <row r="6" spans="1:32" x14ac:dyDescent="0.45">
      <c r="A6" t="s">
        <v>370</v>
      </c>
    </row>
    <row r="7" spans="1:32" x14ac:dyDescent="0.45">
      <c r="A7" t="s">
        <v>266</v>
      </c>
      <c r="B7" s="14">
        <v>0</v>
      </c>
      <c r="C7" s="14">
        <f t="shared" ref="C7:AF7" si="1">$A$12</f>
        <v>600</v>
      </c>
      <c r="D7" s="14">
        <f t="shared" si="1"/>
        <v>600</v>
      </c>
      <c r="E7" s="14">
        <f t="shared" si="1"/>
        <v>600</v>
      </c>
      <c r="F7" s="14">
        <f t="shared" si="1"/>
        <v>600</v>
      </c>
      <c r="G7" s="14">
        <f t="shared" si="1"/>
        <v>600</v>
      </c>
      <c r="H7" s="14">
        <f t="shared" si="1"/>
        <v>600</v>
      </c>
      <c r="I7" s="14">
        <f t="shared" si="1"/>
        <v>600</v>
      </c>
      <c r="J7" s="14">
        <f t="shared" si="1"/>
        <v>600</v>
      </c>
      <c r="K7" s="14">
        <f t="shared" si="1"/>
        <v>600</v>
      </c>
      <c r="L7" s="14">
        <f t="shared" si="1"/>
        <v>600</v>
      </c>
      <c r="M7" s="14">
        <f t="shared" si="1"/>
        <v>600</v>
      </c>
      <c r="N7" s="14">
        <f t="shared" si="1"/>
        <v>600</v>
      </c>
      <c r="O7" s="14">
        <f t="shared" si="1"/>
        <v>600</v>
      </c>
      <c r="P7" s="14">
        <f t="shared" si="1"/>
        <v>600</v>
      </c>
      <c r="Q7" s="14">
        <f t="shared" si="1"/>
        <v>600</v>
      </c>
      <c r="R7" s="14">
        <f t="shared" si="1"/>
        <v>600</v>
      </c>
      <c r="S7" s="14">
        <f t="shared" si="1"/>
        <v>600</v>
      </c>
      <c r="T7" s="14">
        <f t="shared" si="1"/>
        <v>600</v>
      </c>
      <c r="U7" s="14">
        <f t="shared" si="1"/>
        <v>600</v>
      </c>
      <c r="V7" s="14">
        <f t="shared" si="1"/>
        <v>600</v>
      </c>
      <c r="W7" s="14">
        <f t="shared" si="1"/>
        <v>600</v>
      </c>
      <c r="X7" s="14">
        <f t="shared" si="1"/>
        <v>600</v>
      </c>
      <c r="Y7" s="14">
        <f t="shared" si="1"/>
        <v>600</v>
      </c>
      <c r="Z7" s="14">
        <f t="shared" si="1"/>
        <v>600</v>
      </c>
      <c r="AA7" s="14">
        <f t="shared" si="1"/>
        <v>600</v>
      </c>
      <c r="AB7" s="14">
        <f t="shared" si="1"/>
        <v>600</v>
      </c>
      <c r="AC7" s="14">
        <f t="shared" si="1"/>
        <v>600</v>
      </c>
      <c r="AD7" s="14">
        <f t="shared" si="1"/>
        <v>600</v>
      </c>
      <c r="AE7" s="14">
        <f t="shared" si="1"/>
        <v>600</v>
      </c>
      <c r="AF7" s="14">
        <f t="shared" si="1"/>
        <v>600</v>
      </c>
    </row>
    <row r="8" spans="1:32" x14ac:dyDescent="0.45">
      <c r="A8" t="s">
        <v>278</v>
      </c>
      <c r="B8" s="14">
        <v>0</v>
      </c>
      <c r="C8" s="14">
        <f ca="1">IF((ResidualValue!C5-$A$23)*$C$23&gt;((ResidualValue!$B$5*$G$12+$F$12)),((ResidualValue!$B$5*$G$12+$F$12)),0)</f>
        <v>0</v>
      </c>
      <c r="D8" s="14">
        <f ca="1">IF((ResidualValue!D5-$A$23)*$C$23&gt;((ResidualValue!$B$5*$G$12+$F$12)),((ResidualValue!$B$5*$G$12+$F$12)),0)</f>
        <v>0</v>
      </c>
      <c r="E8" s="14">
        <f ca="1">IF((ResidualValue!E5-$A$23)*$C$23&gt;((ResidualValue!$B$5*$G$12+$F$12)),((ResidualValue!$B$5*$G$12+$F$12)),0)</f>
        <v>0</v>
      </c>
      <c r="F8" s="14">
        <f ca="1">IF((ResidualValue!F5-$A$23)*$C$23&gt;((ResidualValue!$B$5*$G$12+$F$12)),((ResidualValue!$B$5*$G$12+$F$12)),0)</f>
        <v>0</v>
      </c>
      <c r="G8" s="14">
        <f ca="1">IF((ResidualValue!G5-$A$23)*$C$23&gt;((ResidualValue!$B$5*$G$12+$F$12)),((ResidualValue!$B$5*$G$12+$F$12)),0)</f>
        <v>0</v>
      </c>
      <c r="H8" s="14">
        <f ca="1">IF((ResidualValue!H5-$A$23)*$C$23&gt;((ResidualValue!$B$5*$G$12+$F$12)),((ResidualValue!$B$5*$G$12+$F$12)),0)</f>
        <v>0</v>
      </c>
      <c r="I8" s="14">
        <f ca="1">IF((ResidualValue!I5-$A$23)*$C$23&gt;((ResidualValue!$B$5*$G$12+$F$12)),((ResidualValue!$B$5*$G$12+$F$12)),0)</f>
        <v>0</v>
      </c>
      <c r="J8" s="14">
        <f ca="1">IF((ResidualValue!J5-$A$23)*$C$23&gt;((ResidualValue!$B$5*$G$12+$F$12)),((ResidualValue!$B$5*$G$12+$F$12)),0)</f>
        <v>0</v>
      </c>
      <c r="K8" s="14">
        <f ca="1">IF((ResidualValue!K5-$A$23)*$C$23&gt;((ResidualValue!$B$5*$G$12+$F$12)),((ResidualValue!$B$5*$G$12+$F$12)),0)</f>
        <v>0</v>
      </c>
      <c r="L8" s="14">
        <f ca="1">IF((ResidualValue!L5-$A$23)*$C$23&gt;((ResidualValue!$B$5*$G$12+$F$12)),((ResidualValue!$B$5*$G$12+$F$12)),0)</f>
        <v>0</v>
      </c>
      <c r="M8" s="14">
        <f ca="1">IF((ResidualValue!M5-$A$23)*$C$23&gt;((ResidualValue!$B$5*$G$12+$F$12)),((ResidualValue!$B$5*$G$12+$F$12)),0)</f>
        <v>0</v>
      </c>
      <c r="N8" s="14">
        <f ca="1">IF((ResidualValue!N5-$A$23)*$C$23&gt;((ResidualValue!$B$5*$G$12+$F$12)),((ResidualValue!$B$5*$G$12+$F$12)),0)</f>
        <v>0</v>
      </c>
      <c r="O8" s="14">
        <f ca="1">IF((ResidualValue!O5-$A$23)*$C$23&gt;((ResidualValue!$B$5*$G$12+$F$12)),((ResidualValue!$B$5*$G$12+$F$12)),0)</f>
        <v>0</v>
      </c>
      <c r="P8" s="14">
        <f ca="1">IF((ResidualValue!P5-$A$23)*$C$23&gt;((ResidualValue!$B$5*$G$12+$F$12)),((ResidualValue!$B$5*$G$12+$F$12)),0)</f>
        <v>0</v>
      </c>
      <c r="Q8" s="14">
        <f ca="1">IF((ResidualValue!Q5-$A$23)*$C$23&gt;((ResidualValue!$B$5*$G$12+$F$12)),((ResidualValue!$B$5*$G$12+$F$12)),0)</f>
        <v>0</v>
      </c>
      <c r="R8" s="14">
        <f ca="1">IF((ResidualValue!R5-$A$23)*$C$23&gt;((ResidualValue!$B$5*$G$12+$F$12)),((ResidualValue!$B$5*$G$12+$F$12)),0)</f>
        <v>0</v>
      </c>
      <c r="S8" s="14">
        <f ca="1">IF((ResidualValue!S5-$A$23)*$C$23&gt;((ResidualValue!$B$5*$G$12+$F$12)),((ResidualValue!$B$5*$G$12+$F$12)),0)</f>
        <v>0</v>
      </c>
      <c r="T8" s="14">
        <f ca="1">IF((ResidualValue!T5-$A$23)*$C$23&gt;((ResidualValue!$B$5*$G$12+$F$12)),((ResidualValue!$B$5*$G$12+$F$12)),0)</f>
        <v>0</v>
      </c>
      <c r="U8" s="14">
        <f ca="1">IF((ResidualValue!U5-$A$23)*$C$23&gt;((ResidualValue!$B$5*$G$12+$F$12)),((ResidualValue!$B$5*$G$12+$F$12)),0)</f>
        <v>0</v>
      </c>
      <c r="V8" s="14">
        <f ca="1">IF((ResidualValue!V5-$A$23)*$C$23&gt;((ResidualValue!$B$5*$G$12+$F$12)),((ResidualValue!$B$5*$G$12+$F$12)),0)</f>
        <v>0</v>
      </c>
      <c r="W8" s="14">
        <f ca="1">IF((ResidualValue!W5-$A$23)*$C$23&gt;((ResidualValue!$B$5*$G$12+$F$12)),((ResidualValue!$B$5*$G$12+$F$12)),0)</f>
        <v>0</v>
      </c>
      <c r="X8" s="14">
        <f ca="1">IF((ResidualValue!X5-$A$23)*$C$23&gt;((ResidualValue!$B$5*$G$12+$F$12)),((ResidualValue!$B$5*$G$12+$F$12)),0)</f>
        <v>0</v>
      </c>
      <c r="Y8" s="14">
        <f ca="1">IF((ResidualValue!Y5-$A$23)*$C$23&gt;((ResidualValue!$B$5*$G$12+$F$12)),((ResidualValue!$B$5*$G$12+$F$12)),0)</f>
        <v>0</v>
      </c>
      <c r="Z8" s="14">
        <f ca="1">IF((ResidualValue!Z5-$A$23)*$C$23&gt;((ResidualValue!$B$5*$G$12+$F$12)),((ResidualValue!$B$5*$G$12+$F$12)),0)</f>
        <v>0</v>
      </c>
      <c r="AA8" s="14">
        <f ca="1">IF((ResidualValue!AA5-$A$23)*$C$23&gt;((ResidualValue!$B$5*$G$12+$F$12)),((ResidualValue!$B$5*$G$12+$F$12)),0)</f>
        <v>0</v>
      </c>
      <c r="AB8" s="14">
        <f ca="1">IF((ResidualValue!AB5-$A$23)*$C$23&gt;((ResidualValue!$B$5*$G$12+$F$12)),((ResidualValue!$B$5*$G$12+$F$12)),0)</f>
        <v>0</v>
      </c>
      <c r="AC8" s="14">
        <f ca="1">IF((ResidualValue!AC5-$A$23)*$C$23&gt;((ResidualValue!$B$5*$G$12+$F$12)),((ResidualValue!$B$5*$G$12+$F$12)),0)</f>
        <v>0</v>
      </c>
      <c r="AD8" s="14">
        <f ca="1">IF((ResidualValue!AD5-$A$23)*$C$23&gt;((ResidualValue!$B$5*$G$12+$F$12)),((ResidualValue!$B$5*$G$12+$F$12)),0)</f>
        <v>0</v>
      </c>
      <c r="AE8" s="14">
        <f ca="1">IF((ResidualValue!AE5-$A$23)*$C$23&gt;((ResidualValue!$B$5*$G$12+$F$12)),((ResidualValue!$B$5*$G$12+$F$12)),0)</f>
        <v>0</v>
      </c>
      <c r="AF8" s="14">
        <f ca="1">IF((ResidualValue!AF5-$A$23)*$C$23&gt;((ResidualValue!$B$5*$G$12+$F$12)),((ResidualValue!$B$5*$G$12+$F$12)),0)</f>
        <v>0</v>
      </c>
    </row>
    <row r="9" spans="1:32" x14ac:dyDescent="0.45">
      <c r="A9" t="s">
        <v>433</v>
      </c>
      <c r="B9" s="14">
        <f>B7+B8</f>
        <v>0</v>
      </c>
      <c r="C9" s="14">
        <f t="shared" ref="C9:AF9" ca="1" si="2">C7+C8</f>
        <v>600</v>
      </c>
      <c r="D9" s="14">
        <f t="shared" ca="1" si="2"/>
        <v>600</v>
      </c>
      <c r="E9" s="14">
        <f t="shared" ca="1" si="2"/>
        <v>600</v>
      </c>
      <c r="F9" s="14">
        <f t="shared" ca="1" si="2"/>
        <v>600</v>
      </c>
      <c r="G9" s="14">
        <f t="shared" ca="1" si="2"/>
        <v>600</v>
      </c>
      <c r="H9" s="14">
        <f t="shared" ca="1" si="2"/>
        <v>600</v>
      </c>
      <c r="I9" s="14">
        <f t="shared" ca="1" si="2"/>
        <v>600</v>
      </c>
      <c r="J9" s="14">
        <f t="shared" ca="1" si="2"/>
        <v>600</v>
      </c>
      <c r="K9" s="14">
        <f t="shared" ca="1" si="2"/>
        <v>600</v>
      </c>
      <c r="L9" s="14">
        <f t="shared" ca="1" si="2"/>
        <v>600</v>
      </c>
      <c r="M9" s="14">
        <f t="shared" ca="1" si="2"/>
        <v>600</v>
      </c>
      <c r="N9" s="14">
        <f t="shared" ca="1" si="2"/>
        <v>600</v>
      </c>
      <c r="O9" s="14">
        <f t="shared" ca="1" si="2"/>
        <v>600</v>
      </c>
      <c r="P9" s="14">
        <f t="shared" ca="1" si="2"/>
        <v>600</v>
      </c>
      <c r="Q9" s="14">
        <f t="shared" ca="1" si="2"/>
        <v>600</v>
      </c>
      <c r="R9" s="14">
        <f t="shared" ca="1" si="2"/>
        <v>600</v>
      </c>
      <c r="S9" s="14">
        <f t="shared" ca="1" si="2"/>
        <v>600</v>
      </c>
      <c r="T9" s="14">
        <f t="shared" ca="1" si="2"/>
        <v>600</v>
      </c>
      <c r="U9" s="14">
        <f t="shared" ca="1" si="2"/>
        <v>600</v>
      </c>
      <c r="V9" s="14">
        <f t="shared" ca="1" si="2"/>
        <v>600</v>
      </c>
      <c r="W9" s="14">
        <f t="shared" ca="1" si="2"/>
        <v>600</v>
      </c>
      <c r="X9" s="14">
        <f t="shared" ca="1" si="2"/>
        <v>600</v>
      </c>
      <c r="Y9" s="14">
        <f t="shared" ca="1" si="2"/>
        <v>600</v>
      </c>
      <c r="Z9" s="14">
        <f t="shared" ca="1" si="2"/>
        <v>600</v>
      </c>
      <c r="AA9" s="14">
        <f t="shared" ca="1" si="2"/>
        <v>600</v>
      </c>
      <c r="AB9" s="14">
        <f t="shared" ca="1" si="2"/>
        <v>600</v>
      </c>
      <c r="AC9" s="14">
        <f t="shared" ca="1" si="2"/>
        <v>600</v>
      </c>
      <c r="AD9" s="14">
        <f t="shared" ca="1" si="2"/>
        <v>600</v>
      </c>
      <c r="AE9" s="14">
        <f t="shared" ca="1" si="2"/>
        <v>600</v>
      </c>
      <c r="AF9" s="14">
        <f t="shared" ca="1" si="2"/>
        <v>600</v>
      </c>
    </row>
    <row r="11" spans="1:32" x14ac:dyDescent="0.45">
      <c r="A11" t="s">
        <v>267</v>
      </c>
      <c r="E11" t="s">
        <v>282</v>
      </c>
    </row>
    <row r="12" spans="1:32" x14ac:dyDescent="0.45">
      <c r="A12" s="78">
        <f>INDEX($B$15:$B$19,MATCH(Dashboard!$H$31,Lists!$R$6:$R$10,0))</f>
        <v>600</v>
      </c>
      <c r="F12" s="75">
        <f>IF(OR(Dashboard!$B$4=1,Dashboard!$B$4=2, Dashboard!$B$4=6, Dashboard!$B$4=7), $F$15,   IF(OR(Dashboard!$B$4=3,Dashboard!$B$4=4, Dashboard!$B$4=8, Dashboard!$B$4=9),  $F$16,   IF(OR(Dashboard!$B$4=5, Dashboard!$B$4=10), $F$17,  0)))</f>
        <v>0</v>
      </c>
      <c r="G12" s="75">
        <f>IF(OR(Dashboard!$B$4=1,Dashboard!$B$4=2, Dashboard!$B$4=6, Dashboard!$B$4=7), $G$15,   IF(OR(Dashboard!$B$4=3,Dashboard!$B$4=4, Dashboard!$B$4=8, Dashboard!$B$4=9),  $G$16,   IF(OR(Dashboard!$B$4=5, Dashboard!$B$4=10), $G$17,  0)))</f>
        <v>0</v>
      </c>
    </row>
    <row r="15" spans="1:32" x14ac:dyDescent="0.45">
      <c r="A15" s="43" t="s">
        <v>268</v>
      </c>
      <c r="B15" s="14">
        <v>600</v>
      </c>
      <c r="E15" t="s">
        <v>280</v>
      </c>
      <c r="F15" s="2">
        <f>220*1.19</f>
        <v>261.8</v>
      </c>
      <c r="G15" s="2">
        <v>8.9999999999999993E-3</v>
      </c>
    </row>
    <row r="16" spans="1:32" x14ac:dyDescent="0.45">
      <c r="A16" s="43" t="s">
        <v>269</v>
      </c>
      <c r="B16" s="14">
        <v>300</v>
      </c>
      <c r="E16" t="s">
        <v>281</v>
      </c>
      <c r="F16" s="2">
        <f>240*1.19</f>
        <v>285.59999999999997</v>
      </c>
      <c r="G16" s="2">
        <v>5.0000000000000001E-3</v>
      </c>
    </row>
    <row r="17" spans="1:32" x14ac:dyDescent="0.45">
      <c r="A17" s="43" t="s">
        <v>270</v>
      </c>
      <c r="B17" s="14">
        <v>1000</v>
      </c>
      <c r="E17" t="s">
        <v>60</v>
      </c>
      <c r="F17" s="2">
        <f>210*1.19</f>
        <v>249.89999999999998</v>
      </c>
      <c r="G17" s="2">
        <v>6.0000000000000001E-3</v>
      </c>
    </row>
    <row r="18" spans="1:32" x14ac:dyDescent="0.45">
      <c r="A18" s="44" t="s">
        <v>271</v>
      </c>
      <c r="B18" s="14">
        <v>750</v>
      </c>
    </row>
    <row r="19" spans="1:32" x14ac:dyDescent="0.45">
      <c r="A19" s="44" t="s">
        <v>272</v>
      </c>
      <c r="B19" s="14">
        <v>400</v>
      </c>
    </row>
    <row r="22" spans="1:32" x14ac:dyDescent="0.45">
      <c r="A22" t="s">
        <v>279</v>
      </c>
      <c r="C22" t="s">
        <v>438</v>
      </c>
    </row>
    <row r="23" spans="1:32" x14ac:dyDescent="0.45">
      <c r="A23" s="15">
        <v>500</v>
      </c>
      <c r="C23" s="4">
        <v>0.1</v>
      </c>
    </row>
    <row r="25" spans="1:32" x14ac:dyDescent="0.45">
      <c r="A25" s="14" t="s">
        <v>371</v>
      </c>
    </row>
    <row r="26" spans="1:32" x14ac:dyDescent="0.45">
      <c r="A26" s="14" t="s">
        <v>452</v>
      </c>
      <c r="B26">
        <f t="shared" ref="B26:AF26" ca="1" si="3">IF(OR($E$1=11,$E$1=12),B31,  OFFSET(B36,$E$1-10,0))</f>
        <v>0</v>
      </c>
      <c r="C26">
        <f t="shared" ca="1" si="3"/>
        <v>35000</v>
      </c>
      <c r="D26">
        <f t="shared" ca="1" si="3"/>
        <v>35000</v>
      </c>
      <c r="E26">
        <f t="shared" ca="1" si="3"/>
        <v>35000</v>
      </c>
      <c r="F26">
        <f t="shared" ca="1" si="3"/>
        <v>35000</v>
      </c>
      <c r="G26">
        <f t="shared" ca="1" si="3"/>
        <v>35000</v>
      </c>
      <c r="H26">
        <f t="shared" ca="1" si="3"/>
        <v>35000</v>
      </c>
      <c r="I26">
        <f t="shared" ca="1" si="3"/>
        <v>35000</v>
      </c>
      <c r="J26">
        <f t="shared" ca="1" si="3"/>
        <v>35000</v>
      </c>
      <c r="K26">
        <f t="shared" ca="1" si="3"/>
        <v>35000</v>
      </c>
      <c r="L26">
        <f t="shared" ca="1" si="3"/>
        <v>35000</v>
      </c>
      <c r="M26">
        <f t="shared" ca="1" si="3"/>
        <v>35000</v>
      </c>
      <c r="N26">
        <f t="shared" ca="1" si="3"/>
        <v>35000</v>
      </c>
      <c r="O26">
        <f t="shared" ca="1" si="3"/>
        <v>35000</v>
      </c>
      <c r="P26">
        <f t="shared" ca="1" si="3"/>
        <v>35000</v>
      </c>
      <c r="Q26">
        <f t="shared" ca="1" si="3"/>
        <v>35000</v>
      </c>
      <c r="R26">
        <f t="shared" ca="1" si="3"/>
        <v>35000</v>
      </c>
      <c r="S26">
        <f t="shared" ca="1" si="3"/>
        <v>35000</v>
      </c>
      <c r="T26">
        <f t="shared" ca="1" si="3"/>
        <v>35000</v>
      </c>
      <c r="U26">
        <f t="shared" ca="1" si="3"/>
        <v>35000</v>
      </c>
      <c r="V26">
        <f t="shared" ca="1" si="3"/>
        <v>35000</v>
      </c>
      <c r="W26">
        <f t="shared" ca="1" si="3"/>
        <v>35000</v>
      </c>
      <c r="X26">
        <f t="shared" ca="1" si="3"/>
        <v>35000</v>
      </c>
      <c r="Y26">
        <f t="shared" ca="1" si="3"/>
        <v>35000</v>
      </c>
      <c r="Z26">
        <f t="shared" ca="1" si="3"/>
        <v>35000</v>
      </c>
      <c r="AA26">
        <f t="shared" ca="1" si="3"/>
        <v>35000</v>
      </c>
      <c r="AB26">
        <f t="shared" ca="1" si="3"/>
        <v>35000</v>
      </c>
      <c r="AC26">
        <f t="shared" ca="1" si="3"/>
        <v>35000</v>
      </c>
      <c r="AD26">
        <f t="shared" ca="1" si="3"/>
        <v>35000</v>
      </c>
      <c r="AE26">
        <f t="shared" ca="1" si="3"/>
        <v>35000</v>
      </c>
      <c r="AF26">
        <f t="shared" ca="1" si="3"/>
        <v>35000</v>
      </c>
    </row>
    <row r="27" spans="1:32" x14ac:dyDescent="0.45">
      <c r="A27" s="14"/>
    </row>
    <row r="28" spans="1:32" x14ac:dyDescent="0.45">
      <c r="A28" s="14" t="s">
        <v>451</v>
      </c>
    </row>
    <row r="29" spans="1:32" x14ac:dyDescent="0.45">
      <c r="A29" t="s">
        <v>434</v>
      </c>
      <c r="B29" s="14">
        <v>0</v>
      </c>
      <c r="C29" s="14">
        <f ca="1">$C$34 * VMT!C4</f>
        <v>4590.4345775422489</v>
      </c>
      <c r="D29" s="14">
        <f ca="1">$C$34 * VMT!D4</f>
        <v>4555.7002009808984</v>
      </c>
      <c r="E29" s="14">
        <f ca="1">$C$34 * VMT!E4</f>
        <v>4436.4541071475287</v>
      </c>
      <c r="F29" s="14">
        <f ca="1">$C$34 * VMT!F4</f>
        <v>4245.4789104595329</v>
      </c>
      <c r="G29" s="14">
        <f ca="1">$C$34 * VMT!G4</f>
        <v>3808.3418115947666</v>
      </c>
      <c r="H29" s="14">
        <f ca="1">$C$34 * VMT!H4</f>
        <v>3416.2146744408265</v>
      </c>
      <c r="I29" s="14">
        <f ca="1">$C$34 * VMT!I4</f>
        <v>3064.4630338414236</v>
      </c>
      <c r="J29" s="14">
        <f ca="1">$C$34 * VMT!J4</f>
        <v>2748.9296138328054</v>
      </c>
      <c r="K29" s="14">
        <f ca="1">$C$34 * VMT!K4</f>
        <v>2465.8851937053605</v>
      </c>
      <c r="L29" s="14">
        <f ca="1">$C$34 * VMT!L4</f>
        <v>2211.9845331569686</v>
      </c>
      <c r="M29" s="14">
        <f ca="1">$C$34 * VMT!M4</f>
        <v>1984.2268356270768</v>
      </c>
      <c r="N29" s="14">
        <f ca="1">$C$34 * VMT!N4</f>
        <v>1794.5646046853442</v>
      </c>
      <c r="O29" s="14">
        <f ca="1">$C$34 * VMT!O4</f>
        <v>1623.0312293764039</v>
      </c>
      <c r="P29" s="14">
        <f ca="1">$C$34 * VMT!P4</f>
        <v>1467.8938638673094</v>
      </c>
      <c r="Q29" s="14">
        <f ca="1">$C$34 * VMT!Q4</f>
        <v>1327.5852963144621</v>
      </c>
      <c r="R29" s="14">
        <f ca="1">$C$34 * VMT!R4</f>
        <v>1200.6881167463471</v>
      </c>
      <c r="S29" s="14">
        <f ca="1">$C$34 * VMT!S4</f>
        <v>1085.92039825847</v>
      </c>
      <c r="T29" s="14">
        <f ca="1">$C$34 * VMT!T4</f>
        <v>976.93286430122737</v>
      </c>
      <c r="U29" s="14">
        <f ca="1">$C$34 * VMT!U4</f>
        <v>878.88377719251139</v>
      </c>
      <c r="V29" s="14">
        <f ca="1">$C$34 * VMT!V4</f>
        <v>790.67530844576333</v>
      </c>
      <c r="W29" s="14">
        <f ca="1">$C$34 * VMT!W4</f>
        <v>711.31981225415871</v>
      </c>
      <c r="X29" s="14">
        <f ca="1">$C$34 * VMT!X4</f>
        <v>639.92876709390646</v>
      </c>
      <c r="Y29" s="14">
        <f ca="1">$C$34 * VMT!Y4</f>
        <v>575.70282719470674</v>
      </c>
      <c r="Z29" s="14">
        <f ca="1">$C$34 * VMT!Z4</f>
        <v>517.92287248643436</v>
      </c>
      <c r="AA29" s="14">
        <f ca="1">$C$34 * VMT!AA4</f>
        <v>465.94195681077872</v>
      </c>
      <c r="AB29" s="14">
        <f ca="1">$C$34 * VMT!AB4</f>
        <v>419.17806424419695</v>
      </c>
      <c r="AC29" s="14">
        <f ca="1">$C$34 * VMT!AC4</f>
        <v>377.10759242672987</v>
      </c>
      <c r="AD29" s="14">
        <f ca="1">$C$34 * VMT!AD4</f>
        <v>339.25948993132067</v>
      </c>
      <c r="AE29" s="14">
        <f ca="1">$C$34 * VMT!AE4</f>
        <v>305.20998203138174</v>
      </c>
      <c r="AF29" s="14">
        <f ca="1">$C$34 * VMT!AF4</f>
        <v>274.57782581249</v>
      </c>
    </row>
    <row r="30" spans="1:32" x14ac:dyDescent="0.45">
      <c r="A30" t="s">
        <v>435</v>
      </c>
      <c r="B30" s="14">
        <v>0</v>
      </c>
      <c r="C30" s="14">
        <f ca="1">($F$34*12)  * ResidualValue!C29/1000</f>
        <v>13353.906222354175</v>
      </c>
      <c r="D30" s="14">
        <f ca="1">($F$34*12)  * ResidualValue!D29/1000</f>
        <v>12201.867011675962</v>
      </c>
      <c r="E30" s="14">
        <f ca="1">($F$34*12)  * ResidualValue!E29/1000</f>
        <v>11151.837378300283</v>
      </c>
      <c r="F30" s="14">
        <f ca="1">($F$34*12)  * ResidualValue!F29/1000</f>
        <v>10196.00885229425</v>
      </c>
      <c r="G30" s="14">
        <f ca="1">($F$34*12)  * ResidualValue!G29/1000</f>
        <v>9330.148108494308</v>
      </c>
      <c r="H30" s="14">
        <f ca="1">($F$34*12)  * ResidualValue!H29/1000</f>
        <v>8544.425417690245</v>
      </c>
      <c r="I30" s="14">
        <f ca="1">($F$34*12)  * ResidualValue!I29/1000</f>
        <v>7830.3033036198967</v>
      </c>
      <c r="J30" s="14">
        <f ca="1">($F$34*12)  * ResidualValue!J29/1000</f>
        <v>7180.3343670858239</v>
      </c>
      <c r="K30" s="14">
        <f ca="1">($F$34*12)  * ResidualValue!K29/1000</f>
        <v>6587.9952457257768</v>
      </c>
      <c r="L30" s="14">
        <f ca="1">($F$34*12)  * ResidualValue!L29/1000</f>
        <v>6047.5495951640805</v>
      </c>
      <c r="M30" s="14">
        <f ca="1">($F$34*12)  * ResidualValue!M29/1000</f>
        <v>5553.9344893030893</v>
      </c>
      <c r="N30" s="14">
        <f ca="1">($F$34*12)  * ResidualValue!N29/1000</f>
        <v>5102.5183787449168</v>
      </c>
      <c r="O30" s="14">
        <f ca="1">($F$34*12)  * ResidualValue!O29/1000</f>
        <v>4689.3794912310386</v>
      </c>
      <c r="P30" s="14">
        <f ca="1">($F$34*12)  * ResidualValue!P29/1000</f>
        <v>4311.010793144158</v>
      </c>
      <c r="Q30" s="14">
        <f ca="1">($F$34*12)  * ResidualValue!Q29/1000</f>
        <v>3964.2685129502402</v>
      </c>
      <c r="R30" s="14">
        <f ca="1">($F$34*12)  * ResidualValue!R29/1000</f>
        <v>3646.328121005587</v>
      </c>
      <c r="S30" s="14">
        <f ca="1">($F$34*12)  * ResidualValue!S29/1000</f>
        <v>3354.6465456699239</v>
      </c>
      <c r="T30" s="14">
        <f ca="1">($F$34*12)  * ResidualValue!T29/1000</f>
        <v>3086.9612324032364</v>
      </c>
      <c r="U30" s="14">
        <f ca="1">($F$34*12)  * ResidualValue!U29/1000</f>
        <v>2841.1855355679686</v>
      </c>
      <c r="V30" s="14">
        <f ca="1">($F$34*12)  * ResidualValue!V29/1000</f>
        <v>2615.4329777606349</v>
      </c>
      <c r="W30" s="14">
        <f ca="1">($F$34*12)  * ResidualValue!W29/1000</f>
        <v>2407.9950565720019</v>
      </c>
      <c r="X30" s="14">
        <f ca="1">($F$34*12)  * ResidualValue!X29/1000</f>
        <v>2217.3219565556892</v>
      </c>
      <c r="Y30" s="14">
        <f ca="1">($F$34*12)  * ResidualValue!Y29/1000</f>
        <v>2042.0057261290642</v>
      </c>
      <c r="Z30" s="14">
        <f ca="1">($F$34*12)  * ResidualValue!Z29/1000</f>
        <v>1880.7655533915779</v>
      </c>
      <c r="AA30" s="14">
        <f ca="1">($F$34*12)  * ResidualValue!AA29/1000</f>
        <v>1732.4348356003684</v>
      </c>
      <c r="AB30" s="14">
        <f ca="1">($F$34*12)  * ResidualValue!AB29/1000</f>
        <v>1595.9497868977398</v>
      </c>
      <c r="AC30" s="14">
        <f ca="1">($F$34*12)  * ResidualValue!AC29/1000</f>
        <v>1470.3393699156848</v>
      </c>
      <c r="AD30" s="14">
        <f ca="1">($F$34*12)  * ResidualValue!AD29/1000</f>
        <v>1354.7163707477241</v>
      </c>
      <c r="AE30" s="14">
        <f ca="1">($F$34*12)  * ResidualValue!AE29/1000</f>
        <v>1248.2694648079998</v>
      </c>
      <c r="AF30" s="14">
        <f ca="1">($F$34*12)  * ResidualValue!AF29/1000</f>
        <v>1150.2561443617542</v>
      </c>
    </row>
    <row r="31" spans="1:32" x14ac:dyDescent="0.45">
      <c r="A31" t="s">
        <v>436</v>
      </c>
      <c r="B31" s="14">
        <f t="shared" ref="B31:AF31" si="4">IF($A$34="Variable (CTIHQ)", B29+B30, B37)</f>
        <v>0</v>
      </c>
      <c r="C31" s="14">
        <f t="shared" ca="1" si="4"/>
        <v>17944.340799896425</v>
      </c>
      <c r="D31" s="14">
        <f t="shared" ca="1" si="4"/>
        <v>16757.567212656861</v>
      </c>
      <c r="E31" s="14">
        <f t="shared" ca="1" si="4"/>
        <v>15588.291485447811</v>
      </c>
      <c r="F31" s="14">
        <f t="shared" ca="1" si="4"/>
        <v>14441.487762753783</v>
      </c>
      <c r="G31" s="14">
        <f t="shared" ca="1" si="4"/>
        <v>13138.489920089074</v>
      </c>
      <c r="H31" s="14">
        <f t="shared" ca="1" si="4"/>
        <v>11960.640092131071</v>
      </c>
      <c r="I31" s="14">
        <f t="shared" ca="1" si="4"/>
        <v>10894.76633746132</v>
      </c>
      <c r="J31" s="14">
        <f t="shared" ca="1" si="4"/>
        <v>9929.2639809186294</v>
      </c>
      <c r="K31" s="14">
        <f t="shared" ca="1" si="4"/>
        <v>9053.8804394311373</v>
      </c>
      <c r="L31" s="14">
        <f t="shared" ca="1" si="4"/>
        <v>8259.5341283210491</v>
      </c>
      <c r="M31" s="14">
        <f t="shared" ca="1" si="4"/>
        <v>7538.1613249301663</v>
      </c>
      <c r="N31" s="14">
        <f t="shared" ca="1" si="4"/>
        <v>6897.0829834302613</v>
      </c>
      <c r="O31" s="14">
        <f t="shared" ca="1" si="4"/>
        <v>6312.4107206074423</v>
      </c>
      <c r="P31" s="14">
        <f t="shared" ca="1" si="4"/>
        <v>5778.9046570114679</v>
      </c>
      <c r="Q31" s="14">
        <f t="shared" ca="1" si="4"/>
        <v>5291.8538092647022</v>
      </c>
      <c r="R31" s="14">
        <f t="shared" ca="1" si="4"/>
        <v>4847.0162377519337</v>
      </c>
      <c r="S31" s="14">
        <f t="shared" ca="1" si="4"/>
        <v>4440.5669439283938</v>
      </c>
      <c r="T31" s="14">
        <f t="shared" ca="1" si="4"/>
        <v>4063.8940967044637</v>
      </c>
      <c r="U31" s="14">
        <f t="shared" ca="1" si="4"/>
        <v>3720.06931276048</v>
      </c>
      <c r="V31" s="14">
        <f t="shared" ca="1" si="4"/>
        <v>3406.1082862063981</v>
      </c>
      <c r="W31" s="14">
        <f t="shared" ca="1" si="4"/>
        <v>3119.3148688261608</v>
      </c>
      <c r="X31" s="14">
        <f t="shared" ca="1" si="4"/>
        <v>2857.2507236495958</v>
      </c>
      <c r="Y31" s="14">
        <f t="shared" ca="1" si="4"/>
        <v>2617.708553323771</v>
      </c>
      <c r="Z31" s="14">
        <f t="shared" ca="1" si="4"/>
        <v>2398.6884258780124</v>
      </c>
      <c r="AA31" s="14">
        <f t="shared" ca="1" si="4"/>
        <v>2198.3767924111471</v>
      </c>
      <c r="AB31" s="14">
        <f t="shared" ca="1" si="4"/>
        <v>2015.1278511419368</v>
      </c>
      <c r="AC31" s="14">
        <f t="shared" ca="1" si="4"/>
        <v>1847.4469623424147</v>
      </c>
      <c r="AD31" s="14">
        <f t="shared" ca="1" si="4"/>
        <v>1693.9758606790447</v>
      </c>
      <c r="AE31" s="14">
        <f t="shared" ca="1" si="4"/>
        <v>1553.4794468393816</v>
      </c>
      <c r="AF31" s="14">
        <f t="shared" ca="1" si="4"/>
        <v>1424.8339701742443</v>
      </c>
    </row>
    <row r="33" spans="1:32" x14ac:dyDescent="0.45">
      <c r="A33" t="s">
        <v>451</v>
      </c>
      <c r="C33" t="s">
        <v>442</v>
      </c>
      <c r="F33" t="s">
        <v>441</v>
      </c>
    </row>
    <row r="34" spans="1:32" x14ac:dyDescent="0.45">
      <c r="A34" s="2" t="s">
        <v>522</v>
      </c>
      <c r="C34" s="117">
        <v>6.2E-2</v>
      </c>
      <c r="D34" t="s">
        <v>440</v>
      </c>
      <c r="F34" s="15">
        <v>2.5</v>
      </c>
      <c r="G34" t="s">
        <v>439</v>
      </c>
    </row>
    <row r="37" spans="1:32" x14ac:dyDescent="0.45">
      <c r="A37" t="s">
        <v>115</v>
      </c>
      <c r="B37" s="118">
        <v>0</v>
      </c>
      <c r="C37" s="102">
        <v>7500</v>
      </c>
      <c r="D37" s="118">
        <f t="shared" ref="D37:D38" si="5">C37</f>
        <v>7500</v>
      </c>
      <c r="E37" s="118">
        <f t="shared" ref="E37:E38" si="6">D37</f>
        <v>7500</v>
      </c>
      <c r="F37" s="118">
        <f t="shared" ref="F37:F38" si="7">E37</f>
        <v>7500</v>
      </c>
      <c r="G37" s="118">
        <f t="shared" ref="G37:G38" si="8">F37</f>
        <v>7500</v>
      </c>
      <c r="H37" s="118">
        <f t="shared" ref="H37:H38" si="9">G37</f>
        <v>7500</v>
      </c>
      <c r="I37" s="118">
        <f t="shared" ref="I37:I38" si="10">H37</f>
        <v>7500</v>
      </c>
      <c r="J37" s="118">
        <f t="shared" ref="J37:J38" si="11">I37</f>
        <v>7500</v>
      </c>
      <c r="K37" s="118">
        <f t="shared" ref="K37:K38" si="12">J37</f>
        <v>7500</v>
      </c>
      <c r="L37" s="118">
        <f t="shared" ref="L37:L38" si="13">K37</f>
        <v>7500</v>
      </c>
      <c r="M37" s="118">
        <f t="shared" ref="M37:M38" si="14">L37</f>
        <v>7500</v>
      </c>
      <c r="N37" s="118">
        <f t="shared" ref="N37:N38" si="15">M37</f>
        <v>7500</v>
      </c>
      <c r="O37" s="118">
        <f t="shared" ref="O37:O38" si="16">N37</f>
        <v>7500</v>
      </c>
      <c r="P37" s="118">
        <f t="shared" ref="P37:P38" si="17">O37</f>
        <v>7500</v>
      </c>
      <c r="Q37" s="118">
        <f t="shared" ref="Q37:Q38" si="18">P37</f>
        <v>7500</v>
      </c>
      <c r="R37" s="118">
        <f t="shared" ref="R37:R38" si="19">Q37</f>
        <v>7500</v>
      </c>
      <c r="S37" s="118">
        <f t="shared" ref="S37:S38" si="20">R37</f>
        <v>7500</v>
      </c>
      <c r="T37" s="118">
        <f t="shared" ref="T37:T38" si="21">S37</f>
        <v>7500</v>
      </c>
      <c r="U37" s="118">
        <f t="shared" ref="U37:U38" si="22">T37</f>
        <v>7500</v>
      </c>
      <c r="V37" s="118">
        <f t="shared" ref="V37:V38" si="23">U37</f>
        <v>7500</v>
      </c>
      <c r="W37" s="118">
        <f t="shared" ref="W37:W38" si="24">V37</f>
        <v>7500</v>
      </c>
      <c r="X37" s="118">
        <f t="shared" ref="X37:X38" si="25">W37</f>
        <v>7500</v>
      </c>
      <c r="Y37" s="118">
        <f t="shared" ref="Y37:Y38" si="26">X37</f>
        <v>7500</v>
      </c>
      <c r="Z37" s="118">
        <f t="shared" ref="Z37:Z38" si="27">Y37</f>
        <v>7500</v>
      </c>
      <c r="AA37" s="118">
        <f t="shared" ref="AA37:AA38" si="28">Z37</f>
        <v>7500</v>
      </c>
      <c r="AB37" s="118">
        <f t="shared" ref="AB37:AB38" si="29">AA37</f>
        <v>7500</v>
      </c>
      <c r="AC37" s="118">
        <f t="shared" ref="AC37:AC38" si="30">AB37</f>
        <v>7500</v>
      </c>
      <c r="AD37" s="118">
        <f t="shared" ref="AD37:AD38" si="31">AC37</f>
        <v>7500</v>
      </c>
      <c r="AE37" s="118">
        <f t="shared" ref="AE37:AE38" si="32">AD37</f>
        <v>7500</v>
      </c>
      <c r="AF37" s="118">
        <f t="shared" ref="AF37:AF38" si="33">AE37</f>
        <v>7500</v>
      </c>
    </row>
    <row r="38" spans="1:32" x14ac:dyDescent="0.45">
      <c r="A38" t="s">
        <v>116</v>
      </c>
      <c r="B38" s="118">
        <v>0</v>
      </c>
      <c r="C38" s="102">
        <v>7500</v>
      </c>
      <c r="D38" s="118">
        <f t="shared" si="5"/>
        <v>7500</v>
      </c>
      <c r="E38" s="118">
        <f t="shared" si="6"/>
        <v>7500</v>
      </c>
      <c r="F38" s="118">
        <f t="shared" si="7"/>
        <v>7500</v>
      </c>
      <c r="G38" s="118">
        <f t="shared" si="8"/>
        <v>7500</v>
      </c>
      <c r="H38" s="118">
        <f t="shared" si="9"/>
        <v>7500</v>
      </c>
      <c r="I38" s="118">
        <f t="shared" si="10"/>
        <v>7500</v>
      </c>
      <c r="J38" s="118">
        <f t="shared" si="11"/>
        <v>7500</v>
      </c>
      <c r="K38" s="118">
        <f t="shared" si="12"/>
        <v>7500</v>
      </c>
      <c r="L38" s="118">
        <f t="shared" si="13"/>
        <v>7500</v>
      </c>
      <c r="M38" s="118">
        <f t="shared" si="14"/>
        <v>7500</v>
      </c>
      <c r="N38" s="118">
        <f t="shared" si="15"/>
        <v>7500</v>
      </c>
      <c r="O38" s="118">
        <f t="shared" si="16"/>
        <v>7500</v>
      </c>
      <c r="P38" s="118">
        <f t="shared" si="17"/>
        <v>7500</v>
      </c>
      <c r="Q38" s="118">
        <f t="shared" si="18"/>
        <v>7500</v>
      </c>
      <c r="R38" s="118">
        <f t="shared" si="19"/>
        <v>7500</v>
      </c>
      <c r="S38" s="118">
        <f t="shared" si="20"/>
        <v>7500</v>
      </c>
      <c r="T38" s="118">
        <f t="shared" si="21"/>
        <v>7500</v>
      </c>
      <c r="U38" s="118">
        <f t="shared" si="22"/>
        <v>7500</v>
      </c>
      <c r="V38" s="118">
        <f t="shared" si="23"/>
        <v>7500</v>
      </c>
      <c r="W38" s="118">
        <f t="shared" si="24"/>
        <v>7500</v>
      </c>
      <c r="X38" s="118">
        <f t="shared" si="25"/>
        <v>7500</v>
      </c>
      <c r="Y38" s="118">
        <f t="shared" si="26"/>
        <v>7500</v>
      </c>
      <c r="Z38" s="118">
        <f t="shared" si="27"/>
        <v>7500</v>
      </c>
      <c r="AA38" s="118">
        <f t="shared" si="28"/>
        <v>7500</v>
      </c>
      <c r="AB38" s="118">
        <f t="shared" si="29"/>
        <v>7500</v>
      </c>
      <c r="AC38" s="118">
        <f t="shared" si="30"/>
        <v>7500</v>
      </c>
      <c r="AD38" s="118">
        <f t="shared" si="31"/>
        <v>7500</v>
      </c>
      <c r="AE38" s="118">
        <f t="shared" si="32"/>
        <v>7500</v>
      </c>
      <c r="AF38" s="118">
        <f t="shared" si="33"/>
        <v>7500</v>
      </c>
    </row>
    <row r="39" spans="1:32" x14ac:dyDescent="0.45">
      <c r="A39" t="s">
        <v>117</v>
      </c>
      <c r="B39" s="118">
        <v>0</v>
      </c>
      <c r="C39" s="102">
        <v>5000</v>
      </c>
      <c r="D39" s="118">
        <f>C39</f>
        <v>5000</v>
      </c>
      <c r="E39" s="118">
        <f t="shared" ref="E39:AF43" si="34">D39</f>
        <v>5000</v>
      </c>
      <c r="F39" s="118">
        <f t="shared" si="34"/>
        <v>5000</v>
      </c>
      <c r="G39" s="118">
        <f t="shared" si="34"/>
        <v>5000</v>
      </c>
      <c r="H39" s="118">
        <f t="shared" si="34"/>
        <v>5000</v>
      </c>
      <c r="I39" s="118">
        <f t="shared" si="34"/>
        <v>5000</v>
      </c>
      <c r="J39" s="118">
        <f t="shared" si="34"/>
        <v>5000</v>
      </c>
      <c r="K39" s="118">
        <f t="shared" si="34"/>
        <v>5000</v>
      </c>
      <c r="L39" s="118">
        <f t="shared" si="34"/>
        <v>5000</v>
      </c>
      <c r="M39" s="118">
        <f t="shared" si="34"/>
        <v>5000</v>
      </c>
      <c r="N39" s="118">
        <f t="shared" si="34"/>
        <v>5000</v>
      </c>
      <c r="O39" s="118">
        <f t="shared" si="34"/>
        <v>5000</v>
      </c>
      <c r="P39" s="118">
        <f t="shared" si="34"/>
        <v>5000</v>
      </c>
      <c r="Q39" s="118">
        <f t="shared" si="34"/>
        <v>5000</v>
      </c>
      <c r="R39" s="118">
        <f t="shared" si="34"/>
        <v>5000</v>
      </c>
      <c r="S39" s="118">
        <f t="shared" si="34"/>
        <v>5000</v>
      </c>
      <c r="T39" s="118">
        <f t="shared" si="34"/>
        <v>5000</v>
      </c>
      <c r="U39" s="118">
        <f t="shared" si="34"/>
        <v>5000</v>
      </c>
      <c r="V39" s="118">
        <f t="shared" si="34"/>
        <v>5000</v>
      </c>
      <c r="W39" s="118">
        <f t="shared" si="34"/>
        <v>5000</v>
      </c>
      <c r="X39" s="118">
        <f t="shared" si="34"/>
        <v>5000</v>
      </c>
      <c r="Y39" s="118">
        <f t="shared" si="34"/>
        <v>5000</v>
      </c>
      <c r="Z39" s="118">
        <f t="shared" si="34"/>
        <v>5000</v>
      </c>
      <c r="AA39" s="118">
        <f t="shared" si="34"/>
        <v>5000</v>
      </c>
      <c r="AB39" s="118">
        <f t="shared" si="34"/>
        <v>5000</v>
      </c>
      <c r="AC39" s="118">
        <f t="shared" si="34"/>
        <v>5000</v>
      </c>
      <c r="AD39" s="118">
        <f t="shared" si="34"/>
        <v>5000</v>
      </c>
      <c r="AE39" s="118">
        <f t="shared" si="34"/>
        <v>5000</v>
      </c>
      <c r="AF39" s="118">
        <f t="shared" si="34"/>
        <v>5000</v>
      </c>
    </row>
    <row r="40" spans="1:32" x14ac:dyDescent="0.45">
      <c r="A40" t="s">
        <v>124</v>
      </c>
      <c r="B40" s="118">
        <v>0</v>
      </c>
      <c r="C40" s="102">
        <v>5000</v>
      </c>
      <c r="D40" s="118">
        <f t="shared" ref="D40:S43" si="35">C40</f>
        <v>5000</v>
      </c>
      <c r="E40" s="118">
        <f t="shared" si="35"/>
        <v>5000</v>
      </c>
      <c r="F40" s="118">
        <f t="shared" si="35"/>
        <v>5000</v>
      </c>
      <c r="G40" s="118">
        <f t="shared" si="35"/>
        <v>5000</v>
      </c>
      <c r="H40" s="118">
        <f t="shared" si="35"/>
        <v>5000</v>
      </c>
      <c r="I40" s="118">
        <f t="shared" si="35"/>
        <v>5000</v>
      </c>
      <c r="J40" s="118">
        <f t="shared" si="35"/>
        <v>5000</v>
      </c>
      <c r="K40" s="118">
        <f t="shared" si="35"/>
        <v>5000</v>
      </c>
      <c r="L40" s="118">
        <f t="shared" si="35"/>
        <v>5000</v>
      </c>
      <c r="M40" s="118">
        <f t="shared" si="35"/>
        <v>5000</v>
      </c>
      <c r="N40" s="118">
        <f t="shared" si="35"/>
        <v>5000</v>
      </c>
      <c r="O40" s="118">
        <f t="shared" si="35"/>
        <v>5000</v>
      </c>
      <c r="P40" s="118">
        <f t="shared" si="35"/>
        <v>5000</v>
      </c>
      <c r="Q40" s="118">
        <f t="shared" si="35"/>
        <v>5000</v>
      </c>
      <c r="R40" s="118">
        <f t="shared" si="35"/>
        <v>5000</v>
      </c>
      <c r="S40" s="118">
        <f t="shared" si="35"/>
        <v>5000</v>
      </c>
      <c r="T40" s="118">
        <f t="shared" si="34"/>
        <v>5000</v>
      </c>
      <c r="U40" s="118">
        <f t="shared" si="34"/>
        <v>5000</v>
      </c>
      <c r="V40" s="118">
        <f t="shared" si="34"/>
        <v>5000</v>
      </c>
      <c r="W40" s="118">
        <f t="shared" si="34"/>
        <v>5000</v>
      </c>
      <c r="X40" s="118">
        <f t="shared" si="34"/>
        <v>5000</v>
      </c>
      <c r="Y40" s="118">
        <f t="shared" si="34"/>
        <v>5000</v>
      </c>
      <c r="Z40" s="118">
        <f t="shared" si="34"/>
        <v>5000</v>
      </c>
      <c r="AA40" s="118">
        <f t="shared" si="34"/>
        <v>5000</v>
      </c>
      <c r="AB40" s="118">
        <f t="shared" si="34"/>
        <v>5000</v>
      </c>
      <c r="AC40" s="118">
        <f t="shared" si="34"/>
        <v>5000</v>
      </c>
      <c r="AD40" s="118">
        <f t="shared" si="34"/>
        <v>5000</v>
      </c>
      <c r="AE40" s="118">
        <f t="shared" si="34"/>
        <v>5000</v>
      </c>
      <c r="AF40" s="118">
        <f t="shared" si="34"/>
        <v>5000</v>
      </c>
    </row>
    <row r="41" spans="1:32" x14ac:dyDescent="0.45">
      <c r="A41" t="s">
        <v>125</v>
      </c>
      <c r="B41" s="118">
        <v>0</v>
      </c>
      <c r="C41" s="102">
        <v>3000</v>
      </c>
      <c r="D41" s="118">
        <f t="shared" si="35"/>
        <v>3000</v>
      </c>
      <c r="E41" s="118">
        <f t="shared" si="34"/>
        <v>3000</v>
      </c>
      <c r="F41" s="118">
        <f t="shared" si="34"/>
        <v>3000</v>
      </c>
      <c r="G41" s="118">
        <f t="shared" si="34"/>
        <v>3000</v>
      </c>
      <c r="H41" s="118">
        <f t="shared" si="34"/>
        <v>3000</v>
      </c>
      <c r="I41" s="118">
        <f t="shared" si="34"/>
        <v>3000</v>
      </c>
      <c r="J41" s="118">
        <f t="shared" si="34"/>
        <v>3000</v>
      </c>
      <c r="K41" s="118">
        <f t="shared" si="34"/>
        <v>3000</v>
      </c>
      <c r="L41" s="118">
        <f t="shared" si="34"/>
        <v>3000</v>
      </c>
      <c r="M41" s="118">
        <f t="shared" si="34"/>
        <v>3000</v>
      </c>
      <c r="N41" s="118">
        <f t="shared" si="34"/>
        <v>3000</v>
      </c>
      <c r="O41" s="118">
        <f t="shared" si="34"/>
        <v>3000</v>
      </c>
      <c r="P41" s="118">
        <f t="shared" si="34"/>
        <v>3000</v>
      </c>
      <c r="Q41" s="118">
        <f t="shared" si="34"/>
        <v>3000</v>
      </c>
      <c r="R41" s="118">
        <f t="shared" si="34"/>
        <v>3000</v>
      </c>
      <c r="S41" s="118">
        <f t="shared" si="34"/>
        <v>3000</v>
      </c>
      <c r="T41" s="118">
        <f t="shared" si="34"/>
        <v>3000</v>
      </c>
      <c r="U41" s="118">
        <f t="shared" si="34"/>
        <v>3000</v>
      </c>
      <c r="V41" s="118">
        <f t="shared" si="34"/>
        <v>3000</v>
      </c>
      <c r="W41" s="118">
        <f t="shared" si="34"/>
        <v>3000</v>
      </c>
      <c r="X41" s="118">
        <f t="shared" si="34"/>
        <v>3000</v>
      </c>
      <c r="Y41" s="118">
        <f t="shared" si="34"/>
        <v>3000</v>
      </c>
      <c r="Z41" s="118">
        <f t="shared" si="34"/>
        <v>3000</v>
      </c>
      <c r="AA41" s="118">
        <f t="shared" si="34"/>
        <v>3000</v>
      </c>
      <c r="AB41" s="118">
        <f t="shared" si="34"/>
        <v>3000</v>
      </c>
      <c r="AC41" s="118">
        <f t="shared" si="34"/>
        <v>3000</v>
      </c>
      <c r="AD41" s="118">
        <f t="shared" si="34"/>
        <v>3000</v>
      </c>
      <c r="AE41" s="118">
        <f t="shared" si="34"/>
        <v>3000</v>
      </c>
      <c r="AF41" s="118">
        <f t="shared" si="34"/>
        <v>3000</v>
      </c>
    </row>
    <row r="42" spans="1:32" x14ac:dyDescent="0.45">
      <c r="A42" t="s">
        <v>118</v>
      </c>
      <c r="B42" s="118">
        <v>0</v>
      </c>
      <c r="C42" s="102">
        <v>35000</v>
      </c>
      <c r="D42" s="118">
        <f t="shared" si="35"/>
        <v>35000</v>
      </c>
      <c r="E42" s="118">
        <f t="shared" si="34"/>
        <v>35000</v>
      </c>
      <c r="F42" s="118">
        <f t="shared" si="34"/>
        <v>35000</v>
      </c>
      <c r="G42" s="118">
        <f t="shared" si="34"/>
        <v>35000</v>
      </c>
      <c r="H42" s="118">
        <f t="shared" si="34"/>
        <v>35000</v>
      </c>
      <c r="I42" s="118">
        <f t="shared" si="34"/>
        <v>35000</v>
      </c>
      <c r="J42" s="118">
        <f t="shared" si="34"/>
        <v>35000</v>
      </c>
      <c r="K42" s="118">
        <f t="shared" si="34"/>
        <v>35000</v>
      </c>
      <c r="L42" s="118">
        <f t="shared" si="34"/>
        <v>35000</v>
      </c>
      <c r="M42" s="118">
        <f t="shared" si="34"/>
        <v>35000</v>
      </c>
      <c r="N42" s="118">
        <f t="shared" si="34"/>
        <v>35000</v>
      </c>
      <c r="O42" s="118">
        <f t="shared" si="34"/>
        <v>35000</v>
      </c>
      <c r="P42" s="118">
        <f t="shared" si="34"/>
        <v>35000</v>
      </c>
      <c r="Q42" s="118">
        <f t="shared" si="34"/>
        <v>35000</v>
      </c>
      <c r="R42" s="118">
        <f t="shared" si="34"/>
        <v>35000</v>
      </c>
      <c r="S42" s="118">
        <f t="shared" si="34"/>
        <v>35000</v>
      </c>
      <c r="T42" s="118">
        <f t="shared" si="34"/>
        <v>35000</v>
      </c>
      <c r="U42" s="118">
        <f t="shared" si="34"/>
        <v>35000</v>
      </c>
      <c r="V42" s="118">
        <f t="shared" si="34"/>
        <v>35000</v>
      </c>
      <c r="W42" s="118">
        <f t="shared" si="34"/>
        <v>35000</v>
      </c>
      <c r="X42" s="118">
        <f t="shared" si="34"/>
        <v>35000</v>
      </c>
      <c r="Y42" s="118">
        <f t="shared" si="34"/>
        <v>35000</v>
      </c>
      <c r="Z42" s="118">
        <f t="shared" si="34"/>
        <v>35000</v>
      </c>
      <c r="AA42" s="118">
        <f t="shared" si="34"/>
        <v>35000</v>
      </c>
      <c r="AB42" s="118">
        <f t="shared" si="34"/>
        <v>35000</v>
      </c>
      <c r="AC42" s="118">
        <f t="shared" si="34"/>
        <v>35000</v>
      </c>
      <c r="AD42" s="118">
        <f t="shared" si="34"/>
        <v>35000</v>
      </c>
      <c r="AE42" s="118">
        <f t="shared" si="34"/>
        <v>35000</v>
      </c>
      <c r="AF42" s="118">
        <f t="shared" si="34"/>
        <v>35000</v>
      </c>
    </row>
    <row r="43" spans="1:32" x14ac:dyDescent="0.45">
      <c r="A43" t="s">
        <v>138</v>
      </c>
      <c r="B43" s="118">
        <v>0</v>
      </c>
      <c r="C43" s="102">
        <v>7500</v>
      </c>
      <c r="D43" s="118">
        <f t="shared" si="35"/>
        <v>7500</v>
      </c>
      <c r="E43" s="118">
        <f t="shared" si="34"/>
        <v>7500</v>
      </c>
      <c r="F43" s="118">
        <f t="shared" si="34"/>
        <v>7500</v>
      </c>
      <c r="G43" s="118">
        <f t="shared" si="34"/>
        <v>7500</v>
      </c>
      <c r="H43" s="118">
        <f t="shared" si="34"/>
        <v>7500</v>
      </c>
      <c r="I43" s="118">
        <f t="shared" si="34"/>
        <v>7500</v>
      </c>
      <c r="J43" s="118">
        <f t="shared" si="34"/>
        <v>7500</v>
      </c>
      <c r="K43" s="118">
        <f t="shared" si="34"/>
        <v>7500</v>
      </c>
      <c r="L43" s="118">
        <f t="shared" si="34"/>
        <v>7500</v>
      </c>
      <c r="M43" s="118">
        <f t="shared" si="34"/>
        <v>7500</v>
      </c>
      <c r="N43" s="118">
        <f t="shared" si="34"/>
        <v>7500</v>
      </c>
      <c r="O43" s="118">
        <f t="shared" si="34"/>
        <v>7500</v>
      </c>
      <c r="P43" s="118">
        <f t="shared" si="34"/>
        <v>7500</v>
      </c>
      <c r="Q43" s="118">
        <f t="shared" si="34"/>
        <v>7500</v>
      </c>
      <c r="R43" s="118">
        <f t="shared" si="34"/>
        <v>7500</v>
      </c>
      <c r="S43" s="118">
        <f t="shared" si="34"/>
        <v>7500</v>
      </c>
      <c r="T43" s="118">
        <f t="shared" si="34"/>
        <v>7500</v>
      </c>
      <c r="U43" s="118">
        <f t="shared" si="34"/>
        <v>7500</v>
      </c>
      <c r="V43" s="118">
        <f t="shared" si="34"/>
        <v>7500</v>
      </c>
      <c r="W43" s="118">
        <f t="shared" si="34"/>
        <v>7500</v>
      </c>
      <c r="X43" s="118">
        <f t="shared" si="34"/>
        <v>7500</v>
      </c>
      <c r="Y43" s="118">
        <f t="shared" si="34"/>
        <v>7500</v>
      </c>
      <c r="Z43" s="118">
        <f t="shared" si="34"/>
        <v>7500</v>
      </c>
      <c r="AA43" s="118">
        <f t="shared" si="34"/>
        <v>7500</v>
      </c>
      <c r="AB43" s="118">
        <f t="shared" si="34"/>
        <v>7500</v>
      </c>
      <c r="AC43" s="118">
        <f t="shared" si="34"/>
        <v>7500</v>
      </c>
      <c r="AD43" s="118">
        <f t="shared" si="34"/>
        <v>7500</v>
      </c>
      <c r="AE43" s="118">
        <f t="shared" si="34"/>
        <v>7500</v>
      </c>
      <c r="AF43" s="118">
        <f t="shared" si="34"/>
        <v>7500</v>
      </c>
    </row>
  </sheetData>
  <dataValidations count="1">
    <dataValidation type="list" allowBlank="1" showInputMessage="1" showErrorMessage="1" sqref="A34" xr:uid="{00000000-0002-0000-0700-000000000000}">
      <formula1>"Variable (CTIHQ), Fixed (ATRI)"</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11"/>
  <sheetViews>
    <sheetView workbookViewId="0">
      <selection activeCell="A7" sqref="A7"/>
    </sheetView>
  </sheetViews>
  <sheetFormatPr defaultRowHeight="14.25" x14ac:dyDescent="0.45"/>
  <sheetData>
    <row r="1" spans="1:37" x14ac:dyDescent="0.45">
      <c r="A1" t="s">
        <v>9</v>
      </c>
      <c r="B1" s="6" t="str">
        <f>Dashboard!B20</f>
        <v>BEV</v>
      </c>
      <c r="C1" t="s">
        <v>61</v>
      </c>
      <c r="D1" s="6" t="str">
        <f>Dashboard!B3</f>
        <v>Class 8 Bus</v>
      </c>
      <c r="E1">
        <f>MATCH(D1,Lists!$T$6:$T$22,0)</f>
        <v>16</v>
      </c>
      <c r="G1" t="s">
        <v>261</v>
      </c>
      <c r="H1" s="6">
        <f ca="1">Vehicle!$A$14</f>
        <v>487190.55933337501</v>
      </c>
      <c r="K1" s="1" t="s">
        <v>83</v>
      </c>
      <c r="L1" s="2" t="s">
        <v>63</v>
      </c>
    </row>
    <row r="3" spans="1:37" x14ac:dyDescent="0.45">
      <c r="A3" t="s">
        <v>0</v>
      </c>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c r="AG3">
        <v>31</v>
      </c>
      <c r="AH3">
        <v>32</v>
      </c>
      <c r="AI3">
        <v>33</v>
      </c>
      <c r="AJ3">
        <v>34</v>
      </c>
      <c r="AK3">
        <v>35</v>
      </c>
    </row>
    <row r="4" spans="1:37" x14ac:dyDescent="0.45">
      <c r="A4" t="s">
        <v>14</v>
      </c>
      <c r="B4">
        <f ca="1">VMT!B4</f>
        <v>0</v>
      </c>
      <c r="C4">
        <f ca="1">VMT!C4</f>
        <v>74039.267379713696</v>
      </c>
      <c r="D4">
        <f ca="1">VMT!D4</f>
        <v>73479.035499691905</v>
      </c>
      <c r="E4">
        <f ca="1">VMT!E4</f>
        <v>71555.711405605296</v>
      </c>
      <c r="F4">
        <f ca="1">VMT!F4</f>
        <v>68475.466297734398</v>
      </c>
      <c r="G4">
        <f ca="1">VMT!G4</f>
        <v>61424.867928947846</v>
      </c>
      <c r="H4">
        <f ca="1">VMT!H4</f>
        <v>55100.23668452946</v>
      </c>
      <c r="I4">
        <f ca="1">VMT!I4</f>
        <v>49426.823126474577</v>
      </c>
      <c r="J4">
        <f ca="1">VMT!J4</f>
        <v>44337.57441665815</v>
      </c>
      <c r="K4">
        <f ca="1">VMT!K4</f>
        <v>39772.341833957427</v>
      </c>
      <c r="L4">
        <f ca="1">VMT!L4</f>
        <v>35677.169889628523</v>
      </c>
      <c r="M4">
        <f ca="1">VMT!M4</f>
        <v>32003.658639146401</v>
      </c>
      <c r="N4">
        <f ca="1">VMT!N4</f>
        <v>28944.590398150714</v>
      </c>
      <c r="O4">
        <f ca="1">VMT!O4</f>
        <v>26177.923054458126</v>
      </c>
      <c r="P4">
        <f ca="1">VMT!P4</f>
        <v>23675.707481730798</v>
      </c>
      <c r="Q4">
        <f ca="1">VMT!Q4</f>
        <v>21412.6660695881</v>
      </c>
      <c r="R4">
        <f ca="1">VMT!R4</f>
        <v>19365.937366876566</v>
      </c>
      <c r="S4">
        <f ca="1">VMT!S4</f>
        <v>17514.845133201128</v>
      </c>
      <c r="T4">
        <f ca="1">VMT!T4</f>
        <v>15756.981682277861</v>
      </c>
      <c r="U4">
        <f ca="1">VMT!U4</f>
        <v>14175.544793427604</v>
      </c>
      <c r="V4">
        <f ca="1">VMT!V4</f>
        <v>12752.827555576829</v>
      </c>
      <c r="W4">
        <f ca="1">VMT!W4</f>
        <v>11472.900197647721</v>
      </c>
      <c r="X4">
        <f ca="1">VMT!X4</f>
        <v>10321.431727321073</v>
      </c>
      <c r="Y4">
        <f ca="1">VMT!Y4</f>
        <v>9285.5294708823676</v>
      </c>
      <c r="Z4">
        <f ca="1">VMT!Z4</f>
        <v>8353.594717523134</v>
      </c>
      <c r="AA4">
        <f ca="1">VMT!AA4</f>
        <v>7515.1928517867536</v>
      </c>
      <c r="AB4">
        <f ca="1">VMT!AB4</f>
        <v>6760.936520067693</v>
      </c>
      <c r="AC4">
        <f ca="1">VMT!AC4</f>
        <v>6082.3805230117723</v>
      </c>
      <c r="AD4">
        <f ca="1">VMT!AD4</f>
        <v>5471.9272569567847</v>
      </c>
      <c r="AE4">
        <f ca="1">VMT!AE4</f>
        <v>4922.7416456674473</v>
      </c>
      <c r="AF4">
        <f ca="1">VMT!AF4</f>
        <v>4428.6746098788708</v>
      </c>
      <c r="AG4">
        <f ca="1">AF4+(AF4-AE4)</f>
        <v>3934.6075740902943</v>
      </c>
      <c r="AH4">
        <f ca="1">AG4+(AG4-AF4)</f>
        <v>3440.5405383017178</v>
      </c>
      <c r="AI4">
        <f ca="1">AH4+(AH4-AG4)</f>
        <v>2946.4735025131413</v>
      </c>
      <c r="AJ4">
        <f ca="1">AI4+(AI4-AH4)</f>
        <v>2452.4064667245648</v>
      </c>
      <c r="AK4">
        <f ca="1">AJ4+(AJ4-AI4)</f>
        <v>1958.3394309359883</v>
      </c>
    </row>
    <row r="5" spans="1:37" x14ac:dyDescent="0.45">
      <c r="A5" t="s">
        <v>15</v>
      </c>
      <c r="B5">
        <f ca="1">SUM(B4:$B4)</f>
        <v>0</v>
      </c>
      <c r="C5">
        <f ca="1">SUM($B4:C4)</f>
        <v>74039.267379713696</v>
      </c>
      <c r="D5">
        <f ca="1">SUM($B4:D4)</f>
        <v>147518.30287940562</v>
      </c>
      <c r="E5">
        <f ca="1">SUM($B4:E4)</f>
        <v>219074.01428501093</v>
      </c>
      <c r="F5">
        <f ca="1">SUM($B4:F4)</f>
        <v>287549.48058274534</v>
      </c>
      <c r="G5">
        <f ca="1">SUM($B4:G4)</f>
        <v>348974.34851169318</v>
      </c>
      <c r="H5">
        <f ca="1">SUM($B4:H4)</f>
        <v>404074.58519622264</v>
      </c>
      <c r="I5">
        <f ca="1">SUM($B4:I4)</f>
        <v>453501.40832269721</v>
      </c>
      <c r="J5">
        <f ca="1">SUM($B4:J4)</f>
        <v>497838.98273935536</v>
      </c>
      <c r="K5">
        <f ca="1">SUM($B4:K4)</f>
        <v>537611.32457331277</v>
      </c>
      <c r="L5">
        <f ca="1">SUM($B4:L4)</f>
        <v>573288.49446294131</v>
      </c>
      <c r="M5">
        <f ca="1">SUM($B4:M4)</f>
        <v>605292.15310208767</v>
      </c>
      <c r="N5">
        <f ca="1">SUM($B4:N4)</f>
        <v>634236.7435002384</v>
      </c>
      <c r="O5">
        <f ca="1">SUM($B4:O4)</f>
        <v>660414.66655469651</v>
      </c>
      <c r="P5">
        <f ca="1">SUM($B4:P4)</f>
        <v>684090.37403642735</v>
      </c>
      <c r="Q5">
        <f ca="1">SUM($B4:Q4)</f>
        <v>705503.04010601551</v>
      </c>
      <c r="R5">
        <f ca="1">SUM($B4:R4)</f>
        <v>724868.97747289203</v>
      </c>
      <c r="S5">
        <f ca="1">SUM($B4:S4)</f>
        <v>742383.82260609313</v>
      </c>
      <c r="T5">
        <f ca="1">SUM($B4:T4)</f>
        <v>758140.804288371</v>
      </c>
      <c r="U5">
        <f ca="1">SUM($B4:U4)</f>
        <v>772316.34908179857</v>
      </c>
      <c r="V5">
        <f ca="1">SUM($B4:V4)</f>
        <v>785069.17663737538</v>
      </c>
      <c r="W5">
        <f ca="1">SUM($B4:W4)</f>
        <v>796542.07683502312</v>
      </c>
      <c r="X5">
        <f ca="1">SUM($B4:X4)</f>
        <v>806863.50856234424</v>
      </c>
      <c r="Y5">
        <f ca="1">SUM($B4:Y4)</f>
        <v>816149.03803322662</v>
      </c>
      <c r="Z5">
        <f ca="1">SUM($B4:Z4)</f>
        <v>824502.6327507497</v>
      </c>
      <c r="AA5">
        <f ca="1">SUM($B4:AA4)</f>
        <v>832017.82560253644</v>
      </c>
      <c r="AB5">
        <f ca="1">SUM($B4:AB4)</f>
        <v>838778.76212260418</v>
      </c>
      <c r="AC5">
        <f ca="1">SUM($B4:AC4)</f>
        <v>844861.14264561597</v>
      </c>
      <c r="AD5">
        <f ca="1">SUM($B4:AD4)</f>
        <v>850333.06990257278</v>
      </c>
      <c r="AE5">
        <f ca="1">SUM($B4:AE4)</f>
        <v>855255.81154824025</v>
      </c>
      <c r="AF5">
        <f ca="1">SUM($B4:AF4)</f>
        <v>859684.48615811917</v>
      </c>
      <c r="AG5">
        <f ca="1">SUM($B4:AG4)</f>
        <v>863619.09373220941</v>
      </c>
      <c r="AH5">
        <f ca="1">SUM($B4:AH4)</f>
        <v>867059.6342705111</v>
      </c>
      <c r="AI5">
        <f ca="1">SUM($B4:AI4)</f>
        <v>870006.10777302424</v>
      </c>
      <c r="AJ5">
        <f ca="1">SUM($B4:AJ4)</f>
        <v>872458.51423974882</v>
      </c>
      <c r="AK5">
        <f ca="1">SUM($B4:AK4)</f>
        <v>874416.85367068485</v>
      </c>
    </row>
    <row r="7" spans="1:37" x14ac:dyDescent="0.45">
      <c r="A7" t="s">
        <v>383</v>
      </c>
      <c r="C7">
        <f t="shared" ref="C7:AK7" ca="1" si="0">SUMPRODUCT( FLOOR(((C5+$D$26:$D$64-$C$26:$C$64)/$D$26:$D$64),1) - FLOOR(((B5+$D$26:$D$64-$C$26:$C$64)/$D$26:$D$64),1), $M$26:$M$64)</f>
        <v>1870</v>
      </c>
      <c r="D7">
        <f t="shared" ca="1" si="0"/>
        <v>3945</v>
      </c>
      <c r="E7">
        <f t="shared" ca="1" si="0"/>
        <v>4805</v>
      </c>
      <c r="F7">
        <f t="shared" ca="1" si="0"/>
        <v>3845</v>
      </c>
      <c r="G7">
        <f t="shared" ca="1" si="0"/>
        <v>3960</v>
      </c>
      <c r="H7">
        <f t="shared" ca="1" si="0"/>
        <v>4125</v>
      </c>
      <c r="I7">
        <f t="shared" ca="1" si="0"/>
        <v>3640</v>
      </c>
      <c r="J7">
        <f t="shared" ca="1" si="0"/>
        <v>935</v>
      </c>
      <c r="K7">
        <f t="shared" ca="1" si="0"/>
        <v>3060</v>
      </c>
      <c r="L7">
        <f t="shared" ca="1" si="0"/>
        <v>1585</v>
      </c>
      <c r="M7">
        <f t="shared" ca="1" si="0"/>
        <v>3300</v>
      </c>
      <c r="N7">
        <f t="shared" ca="1" si="0"/>
        <v>630</v>
      </c>
      <c r="O7">
        <f t="shared" ca="1" si="0"/>
        <v>1490</v>
      </c>
      <c r="P7">
        <f t="shared" ca="1" si="0"/>
        <v>1825</v>
      </c>
      <c r="Q7">
        <f t="shared" ca="1" si="0"/>
        <v>2120</v>
      </c>
      <c r="R7">
        <f t="shared" ca="1" si="0"/>
        <v>515</v>
      </c>
      <c r="S7">
        <f t="shared" ca="1" si="0"/>
        <v>275</v>
      </c>
      <c r="T7">
        <f t="shared" ca="1" si="0"/>
        <v>2105</v>
      </c>
      <c r="U7">
        <f t="shared" ca="1" si="0"/>
        <v>225</v>
      </c>
      <c r="V7">
        <f t="shared" ca="1" si="0"/>
        <v>275</v>
      </c>
      <c r="W7">
        <f t="shared" ca="1" si="0"/>
        <v>295</v>
      </c>
      <c r="X7">
        <f t="shared" ca="1" si="0"/>
        <v>2020</v>
      </c>
      <c r="Y7">
        <f t="shared" ca="1" si="0"/>
        <v>95</v>
      </c>
      <c r="Z7">
        <f t="shared" ca="1" si="0"/>
        <v>180</v>
      </c>
      <c r="AA7">
        <f t="shared" ca="1" si="0"/>
        <v>595</v>
      </c>
      <c r="AB7">
        <f t="shared" ca="1" si="0"/>
        <v>50</v>
      </c>
      <c r="AC7">
        <f t="shared" ca="1" si="0"/>
        <v>225</v>
      </c>
      <c r="AD7">
        <f t="shared" ca="1" si="0"/>
        <v>750</v>
      </c>
      <c r="AE7">
        <f t="shared" ca="1" si="0"/>
        <v>95</v>
      </c>
      <c r="AF7">
        <f t="shared" ca="1" si="0"/>
        <v>0</v>
      </c>
      <c r="AG7">
        <f t="shared" ca="1" si="0"/>
        <v>330</v>
      </c>
      <c r="AH7">
        <f t="shared" ca="1" si="0"/>
        <v>0</v>
      </c>
      <c r="AI7">
        <f t="shared" ca="1" si="0"/>
        <v>95</v>
      </c>
      <c r="AJ7">
        <f t="shared" ca="1" si="0"/>
        <v>0</v>
      </c>
      <c r="AK7">
        <f t="shared" ca="1" si="0"/>
        <v>0</v>
      </c>
    </row>
    <row r="8" spans="1:37" x14ac:dyDescent="0.45">
      <c r="A8" t="s">
        <v>384</v>
      </c>
      <c r="C8">
        <f ca="1">_xlfn.AGGREGATE(1,6,A7:E7)</f>
        <v>3540</v>
      </c>
      <c r="D8">
        <f t="shared" ref="D8:AF8" ca="1" si="1">_xlfn.AGGREGATE(1,6,B7:F7)</f>
        <v>3616.25</v>
      </c>
      <c r="E8">
        <f t="shared" ca="1" si="1"/>
        <v>3685</v>
      </c>
      <c r="F8">
        <f t="shared" ca="1" si="1"/>
        <v>4136</v>
      </c>
      <c r="G8">
        <f t="shared" ca="1" si="1"/>
        <v>4075</v>
      </c>
      <c r="H8">
        <f t="shared" ca="1" si="1"/>
        <v>3301</v>
      </c>
      <c r="I8">
        <f t="shared" ca="1" si="1"/>
        <v>3144</v>
      </c>
      <c r="J8">
        <f t="shared" ca="1" si="1"/>
        <v>2669</v>
      </c>
      <c r="K8">
        <f t="shared" ca="1" si="1"/>
        <v>2504</v>
      </c>
      <c r="L8">
        <f t="shared" ca="1" si="1"/>
        <v>1902</v>
      </c>
      <c r="M8">
        <f t="shared" ca="1" si="1"/>
        <v>2013</v>
      </c>
      <c r="N8">
        <f t="shared" ca="1" si="1"/>
        <v>1766</v>
      </c>
      <c r="O8">
        <f t="shared" ca="1" si="1"/>
        <v>1873</v>
      </c>
      <c r="P8">
        <f t="shared" ca="1" si="1"/>
        <v>1316</v>
      </c>
      <c r="Q8">
        <f t="shared" ca="1" si="1"/>
        <v>1245</v>
      </c>
      <c r="R8">
        <f t="shared" ca="1" si="1"/>
        <v>1368</v>
      </c>
      <c r="S8">
        <f t="shared" ca="1" si="1"/>
        <v>1048</v>
      </c>
      <c r="T8">
        <f t="shared" ca="1" si="1"/>
        <v>679</v>
      </c>
      <c r="U8">
        <f t="shared" ca="1" si="1"/>
        <v>635</v>
      </c>
      <c r="V8">
        <f t="shared" ca="1" si="1"/>
        <v>984</v>
      </c>
      <c r="W8">
        <f t="shared" ca="1" si="1"/>
        <v>582</v>
      </c>
      <c r="X8">
        <f t="shared" ca="1" si="1"/>
        <v>573</v>
      </c>
      <c r="Y8">
        <f t="shared" ca="1" si="1"/>
        <v>637</v>
      </c>
      <c r="Z8">
        <f t="shared" ca="1" si="1"/>
        <v>588</v>
      </c>
      <c r="AA8">
        <f t="shared" ca="1" si="1"/>
        <v>229</v>
      </c>
      <c r="AB8">
        <f t="shared" ca="1" si="1"/>
        <v>360</v>
      </c>
      <c r="AC8">
        <f t="shared" ca="1" si="1"/>
        <v>343</v>
      </c>
      <c r="AD8">
        <f t="shared" ca="1" si="1"/>
        <v>224</v>
      </c>
      <c r="AE8">
        <f t="shared" ca="1" si="1"/>
        <v>280</v>
      </c>
      <c r="AF8">
        <f t="shared" ca="1" si="1"/>
        <v>235</v>
      </c>
      <c r="AG8">
        <f ca="1">_xlfn.AGGREGATE(1,6,AE7:AI7)</f>
        <v>104</v>
      </c>
      <c r="AH8">
        <f ca="1">_xlfn.AGGREGATE(1,6,AF7:AJ7)</f>
        <v>85</v>
      </c>
      <c r="AI8">
        <f ca="1">_xlfn.AGGREGATE(1,6,AG7:AK7)</f>
        <v>85</v>
      </c>
      <c r="AJ8">
        <f ca="1">_xlfn.AGGREGATE(1,6,AH7:AL7)</f>
        <v>23.75</v>
      </c>
      <c r="AK8">
        <f ca="1">_xlfn.AGGREGATE(1,6,AI7:AM7)</f>
        <v>31.666666666666668</v>
      </c>
    </row>
    <row r="9" spans="1:37" x14ac:dyDescent="0.45">
      <c r="A9" t="s">
        <v>549</v>
      </c>
      <c r="C9">
        <f t="shared" ref="C9:AJ9" ca="1" si="2">C85</f>
        <v>1273.0994866319834</v>
      </c>
      <c r="D9">
        <f t="shared" ca="1" si="2"/>
        <v>2770.1875371824581</v>
      </c>
      <c r="E9">
        <f t="shared" ca="1" si="2"/>
        <v>3076.8955904410277</v>
      </c>
      <c r="F9">
        <f t="shared" ca="1" si="2"/>
        <v>2944.4450508025784</v>
      </c>
      <c r="G9">
        <f t="shared" ca="1" si="2"/>
        <v>2641.2693209447589</v>
      </c>
      <c r="H9">
        <f t="shared" ca="1" si="2"/>
        <v>2369.310177434767</v>
      </c>
      <c r="I9">
        <f t="shared" ca="1" si="2"/>
        <v>2125.3533944384053</v>
      </c>
      <c r="J9">
        <f t="shared" ca="1" si="2"/>
        <v>1906.5156999163009</v>
      </c>
      <c r="K9">
        <f t="shared" ca="1" si="2"/>
        <v>1710.2106988601663</v>
      </c>
      <c r="L9">
        <f t="shared" ca="1" si="2"/>
        <v>1534.1183052540291</v>
      </c>
      <c r="M9">
        <f t="shared" ca="1" si="2"/>
        <v>1376.1573214832933</v>
      </c>
      <c r="N9">
        <f t="shared" ca="1" si="2"/>
        <v>1244.617387120481</v>
      </c>
      <c r="O9">
        <f t="shared" ca="1" si="2"/>
        <v>1125.6506913416997</v>
      </c>
      <c r="P9">
        <f t="shared" ca="1" si="2"/>
        <v>1018.0554217144236</v>
      </c>
      <c r="Q9">
        <f t="shared" ca="1" si="2"/>
        <v>920.74464099229226</v>
      </c>
      <c r="R9">
        <f t="shared" ca="1" si="2"/>
        <v>832.73530677568851</v>
      </c>
      <c r="S9">
        <f t="shared" ca="1" si="2"/>
        <v>753.13834072764803</v>
      </c>
      <c r="T9">
        <f t="shared" ca="1" si="2"/>
        <v>677.55021233794832</v>
      </c>
      <c r="U9">
        <f t="shared" ca="1" si="2"/>
        <v>609.54842611738786</v>
      </c>
      <c r="V9">
        <f t="shared" ca="1" si="2"/>
        <v>548.37158488980276</v>
      </c>
      <c r="W9">
        <f t="shared" ca="1" si="2"/>
        <v>493.33470849885271</v>
      </c>
      <c r="X9">
        <f t="shared" ca="1" si="2"/>
        <v>443.82156427480732</v>
      </c>
      <c r="Y9">
        <f t="shared" ca="1" si="2"/>
        <v>399.27776724794239</v>
      </c>
      <c r="Z9">
        <f t="shared" ca="1" si="2"/>
        <v>359.20457285348675</v>
      </c>
      <c r="AA9">
        <f t="shared" ca="1" si="2"/>
        <v>323.15329262683372</v>
      </c>
      <c r="AB9">
        <f t="shared" ca="1" si="2"/>
        <v>290.72027036291547</v>
      </c>
      <c r="AC9">
        <f t="shared" ca="1" si="2"/>
        <v>261.54236248950474</v>
      </c>
      <c r="AD9">
        <f t="shared" ca="1" si="2"/>
        <v>235.29287204913999</v>
      </c>
      <c r="AE9">
        <f t="shared" ca="1" si="2"/>
        <v>211.67789076370536</v>
      </c>
      <c r="AF9">
        <f t="shared" ca="1" si="2"/>
        <v>190.43300822479068</v>
      </c>
      <c r="AG9">
        <f t="shared" ca="1" si="2"/>
        <v>169.18812568588328</v>
      </c>
      <c r="AH9">
        <f t="shared" ca="1" si="2"/>
        <v>147.9432431469686</v>
      </c>
      <c r="AI9">
        <f t="shared" ca="1" si="2"/>
        <v>126.69836060806847</v>
      </c>
      <c r="AJ9">
        <f t="shared" ca="1" si="2"/>
        <v>105.45347806915379</v>
      </c>
      <c r="AK9">
        <f ca="1">AK85</f>
        <v>84.20859553025366</v>
      </c>
    </row>
    <row r="10" spans="1:37" x14ac:dyDescent="0.45">
      <c r="A10" t="s">
        <v>381</v>
      </c>
      <c r="C10">
        <f ca="1">IF($E$1&gt;10, OFFSET(C95,$E$1-10,0) * 'Maintenance &amp; Repair'!C4, 0) * $A$105</f>
        <v>13771.303732626748</v>
      </c>
      <c r="D10">
        <f ca="1">IF($E$1&gt;10, OFFSET(D95,$E$1-10,0) * 'Maintenance &amp; Repair'!D4, 0) * $A$105</f>
        <v>27481.159276884773</v>
      </c>
      <c r="E10">
        <f ca="1">IF($E$1&gt;10, OFFSET(E95,$E$1-10,0) * 'Maintenance &amp; Repair'!E4, 0) * $A$105</f>
        <v>41788.535460873492</v>
      </c>
      <c r="F10">
        <f ca="1">IF($E$1&gt;10, OFFSET(F95,$E$1-10,0) * 'Maintenance &amp; Repair'!F4, 0) * $A$105</f>
        <v>38003.883795242597</v>
      </c>
      <c r="G10">
        <f ca="1">IF($E$1&gt;10, OFFSET(G95,$E$1-10,0) * 'Maintenance &amp; Repair'!G4, 0) * $A$105</f>
        <v>39434.765210384518</v>
      </c>
      <c r="H10">
        <f ca="1">IF($E$1&gt;10, OFFSET(H95,$E$1-10,0) * 'Maintenance &amp; Repair'!H4, 0) * $A$105</f>
        <v>45622.995974790392</v>
      </c>
      <c r="I10">
        <f ca="1">IF($E$1&gt;10, OFFSET(I95,$E$1-10,0) * 'Maintenance &amp; Repair'!I4, 0) * $A$105</f>
        <v>36921.836875476511</v>
      </c>
      <c r="J10">
        <f ca="1">IF($E$1&gt;10, OFFSET(J95,$E$1-10,0) * 'Maintenance &amp; Repair'!J4, 0) * $A$105</f>
        <v>36667.174042576291</v>
      </c>
      <c r="K10">
        <f ca="1">IF($E$1&gt;10, OFFSET(K95,$E$1-10,0) * 'Maintenance &amp; Repair'!K4, 0) * $A$105</f>
        <v>42238.22702766279</v>
      </c>
      <c r="L10">
        <f ca="1">IF($E$1&gt;10, OFFSET(L95,$E$1-10,0) * 'Maintenance &amp; Repair'!L4, 0) * $A$105</f>
        <v>41385.517071969087</v>
      </c>
      <c r="M10">
        <f ca="1">IF($E$1&gt;10, OFFSET(M95,$E$1-10,0) * 'Maintenance &amp; Repair'!M4, 0) * $A$105</f>
        <v>46021.261123092525</v>
      </c>
      <c r="N10">
        <f ca="1">IF($E$1&gt;10, OFFSET(N95,$E$1-10,0) * 'Maintenance &amp; Repair'!N4, 0) * $A$105</f>
        <v>48945.302363272858</v>
      </c>
      <c r="O10">
        <f ca="1">IF($E$1&gt;10, OFFSET(O95,$E$1-10,0) * 'Maintenance &amp; Repair'!O4, 0) * $A$105</f>
        <v>29764.298512918889</v>
      </c>
      <c r="P10">
        <f ca="1">IF($E$1&gt;10, OFFSET(P95,$E$1-10,0) * 'Maintenance &amp; Repair'!P4, 0) * $A$105</f>
        <v>33169.666181904846</v>
      </c>
      <c r="Q10">
        <f ca="1">IF($E$1&gt;10, OFFSET(Q95,$E$1-10,0) * 'Maintenance &amp; Repair'!Q4, 0) * $A$105</f>
        <v>24025.01133007785</v>
      </c>
      <c r="R10">
        <f ca="1">IF($E$1&gt;10, OFFSET(R95,$E$1-10,0) * 'Maintenance &amp; Repair'!R4, 0) * $A$105</f>
        <v>39235.389105291921</v>
      </c>
      <c r="S10">
        <f ca="1">IF($E$1&gt;10, OFFSET(S95,$E$1-10,0) * 'Maintenance &amp; Repair'!S4, 0) * $A$105</f>
        <v>29283.069578198963</v>
      </c>
      <c r="T10">
        <f ca="1">IF($E$1&gt;10, OFFSET(T95,$E$1-10,0) * 'Maintenance &amp; Repair'!T4, 0) * $A$105</f>
        <v>27376.179974789557</v>
      </c>
      <c r="U10">
        <f ca="1">IF($E$1&gt;10, OFFSET(U95,$E$1-10,0) * 'Maintenance &amp; Repair'!U4, 0) * $A$105</f>
        <v>25557.089708070624</v>
      </c>
      <c r="V10">
        <f ca="1">IF($E$1&gt;10, OFFSET(V95,$E$1-10,0) * 'Maintenance &amp; Repair'!V4, 0) * $A$105</f>
        <v>23827.383004839743</v>
      </c>
      <c r="W10">
        <f ca="1">IF($E$1&gt;10, OFFSET(W95,$E$1-10,0) * 'Maintenance &amp; Repair'!W4, 0) * $A$105</f>
        <v>22187.441692230928</v>
      </c>
      <c r="X10">
        <f ca="1">IF($E$1&gt;10, OFFSET(X95,$E$1-10,0) * 'Maintenance &amp; Repair'!X4, 0) * $A$105</f>
        <v>20636.670595605749</v>
      </c>
      <c r="Y10">
        <f ca="1">IF($E$1&gt;10, OFFSET(Y95,$E$1-10,0) * 'Maintenance &amp; Repair'!Y4, 0) * $A$105</f>
        <v>19173.689804424997</v>
      </c>
      <c r="Z10">
        <f ca="1">IF($E$1&gt;10, OFFSET(Z95,$E$1-10,0) * 'Maintenance &amp; Repair'!Z4, 0) * $A$105</f>
        <v>17796.498186211284</v>
      </c>
      <c r="AA10">
        <f ca="1">IF($E$1&gt;10, OFFSET(AA95,$E$1-10,0) * 'Maintenance &amp; Repair'!AA4, 0) * $A$105</f>
        <v>16502.61198323853</v>
      </c>
      <c r="AB10">
        <f ca="1">IF($E$1&gt;10, OFFSET(AB95,$E$1-10,0) * 'Maintenance &amp; Repair'!AB4, 0) * $A$105</f>
        <v>15289.181846481079</v>
      </c>
      <c r="AC10">
        <f ca="1">IF($E$1&gt;10, OFFSET(AC95,$E$1-10,0) * 'Maintenance &amp; Repair'!AC4, 0) * $A$105</f>
        <v>14153.091238996089</v>
      </c>
      <c r="AD10">
        <f ca="1">IF($E$1&gt;10, OFFSET(AD95,$E$1-10,0) * 'Maintenance &amp; Repair'!AD4, 0) * $A$105</f>
        <v>13091.038769543409</v>
      </c>
      <c r="AE10">
        <f ca="1">IF($E$1&gt;10, OFFSET(AE95,$E$1-10,0) * 'Maintenance &amp; Repair'!AE4, 0) * $A$105</f>
        <v>12099.606690886016</v>
      </c>
      <c r="AF10">
        <f ca="1">IF($E$1&gt;10, OFFSET(AF95,$E$1-10,0) * 'Maintenance &amp; Repair'!AF4, 0) * $A$105</f>
        <v>11175.317510568339</v>
      </c>
      <c r="AG10">
        <f ca="1">IF($E$1&gt;10, OFFSET(AG95,$E$1-10,0) * 'Maintenance &amp; Repair'!AG4, 0) * $A$105</f>
        <v>10186.305548562361</v>
      </c>
      <c r="AH10">
        <f ca="1">IF($E$1&gt;10, OFFSET(AH95,$E$1-10,0) * 'Maintenance &amp; Repair'!AH4, 0) * $A$105</f>
        <v>9132.5708048680772</v>
      </c>
      <c r="AI10">
        <f ca="1">IF($E$1&gt;10, OFFSET(AI95,$E$1-10,0) * 'Maintenance &amp; Repair'!AI4, 0) * $A$105</f>
        <v>8014.1132794854921</v>
      </c>
      <c r="AJ10">
        <f ca="1">IF($E$1&gt;10, OFFSET(AJ95,$E$1-10,0) * 'Maintenance &amp; Repair'!AJ4, 0) * $A$105</f>
        <v>6830.932972414601</v>
      </c>
      <c r="AK10">
        <f ca="1">IF($E$1&gt;10, OFFSET(AK95,$E$1-10,0) * 'Maintenance &amp; Repair'!AK4, 0) * $A$105</f>
        <v>5583.0298836554075</v>
      </c>
    </row>
    <row r="11" spans="1:37" x14ac:dyDescent="0.45">
      <c r="A11" t="s">
        <v>382</v>
      </c>
      <c r="C11">
        <f ca="1">_xlfn.AGGREGATE(1,6,A10:E10)</f>
        <v>27680.332823461667</v>
      </c>
      <c r="D11">
        <f t="shared" ref="D11:AK11" ca="1" si="3">_xlfn.AGGREGATE(1,6,B10:F10)</f>
        <v>30261.220566406901</v>
      </c>
      <c r="E11">
        <f t="shared" ca="1" si="3"/>
        <v>32095.929495202425</v>
      </c>
      <c r="F11">
        <f t="shared" ca="1" si="3"/>
        <v>38466.267943635161</v>
      </c>
      <c r="G11">
        <f t="shared" ca="1" si="3"/>
        <v>40354.403463353505</v>
      </c>
      <c r="H11">
        <f t="shared" ca="1" si="3"/>
        <v>39330.131179694064</v>
      </c>
      <c r="I11">
        <f t="shared" ca="1" si="3"/>
        <v>40176.9998261781</v>
      </c>
      <c r="J11">
        <f t="shared" ca="1" si="3"/>
        <v>40567.150198495016</v>
      </c>
      <c r="K11">
        <f t="shared" ca="1" si="3"/>
        <v>40646.803228155441</v>
      </c>
      <c r="L11">
        <f t="shared" ca="1" si="3"/>
        <v>43051.49632571471</v>
      </c>
      <c r="M11">
        <f t="shared" ca="1" si="3"/>
        <v>41670.921219783231</v>
      </c>
      <c r="N11">
        <f t="shared" ca="1" si="3"/>
        <v>39857.209050631638</v>
      </c>
      <c r="O11">
        <f t="shared" ca="1" si="3"/>
        <v>36385.107902253396</v>
      </c>
      <c r="P11">
        <f t="shared" ca="1" si="3"/>
        <v>35027.933498693274</v>
      </c>
      <c r="Q11">
        <f t="shared" ca="1" si="3"/>
        <v>31095.486941678497</v>
      </c>
      <c r="R11">
        <f t="shared" ca="1" si="3"/>
        <v>30617.863234052627</v>
      </c>
      <c r="S11">
        <f t="shared" ca="1" si="3"/>
        <v>29095.347939285781</v>
      </c>
      <c r="T11">
        <f t="shared" ca="1" si="3"/>
        <v>29055.822274238162</v>
      </c>
      <c r="U11">
        <f t="shared" ca="1" si="3"/>
        <v>25646.232791625964</v>
      </c>
      <c r="V11">
        <f t="shared" ca="1" si="3"/>
        <v>23916.952995107316</v>
      </c>
      <c r="W11">
        <f t="shared" ca="1" si="3"/>
        <v>22276.454961034411</v>
      </c>
      <c r="X11">
        <f t="shared" ca="1" si="3"/>
        <v>20724.336656662537</v>
      </c>
      <c r="Y11">
        <f t="shared" ca="1" si="3"/>
        <v>19259.382452342295</v>
      </c>
      <c r="Z11">
        <f t="shared" ca="1" si="3"/>
        <v>17879.730483192328</v>
      </c>
      <c r="AA11">
        <f t="shared" ca="1" si="3"/>
        <v>16583.014611870396</v>
      </c>
      <c r="AB11">
        <f t="shared" ca="1" si="3"/>
        <v>15366.484404894078</v>
      </c>
      <c r="AC11">
        <f t="shared" ca="1" si="3"/>
        <v>14227.106105829025</v>
      </c>
      <c r="AD11">
        <f t="shared" ca="1" si="3"/>
        <v>13161.647211294985</v>
      </c>
      <c r="AE11">
        <f t="shared" ca="1" si="3"/>
        <v>12141.071951711243</v>
      </c>
      <c r="AF11">
        <f t="shared" ca="1" si="3"/>
        <v>11136.967864885641</v>
      </c>
      <c r="AG11">
        <f t="shared" ca="1" si="3"/>
        <v>10121.582766874057</v>
      </c>
      <c r="AH11">
        <f t="shared" ca="1" si="3"/>
        <v>9067.8480231797748</v>
      </c>
      <c r="AI11">
        <f t="shared" ca="1" si="3"/>
        <v>7949.3904977971879</v>
      </c>
      <c r="AJ11">
        <f t="shared" ca="1" si="3"/>
        <v>7390.161735105894</v>
      </c>
      <c r="AK11">
        <f t="shared" ca="1" si="3"/>
        <v>6809.3587118518335</v>
      </c>
    </row>
    <row r="13" spans="1:37" x14ac:dyDescent="0.45">
      <c r="A13" t="s">
        <v>23</v>
      </c>
      <c r="C13">
        <f ca="1">IF($E$1&lt;=10, OFFSET(C7,MATCH('Maintenance &amp; Repair'!$L$1,Lists!$J$6:$J$8,0)-1,0), OFFSET(C10,MATCH('Maintenance &amp; Repair'!$L$1,Lists!$J$6:$J$8,0)-1,0))</f>
        <v>27680.332823461667</v>
      </c>
      <c r="D13">
        <f ca="1">IF($E$1&lt;=10, OFFSET(D7,MATCH('Maintenance &amp; Repair'!$L$1,Lists!$J$6:$J$8,0)-1,0), OFFSET(D10,MATCH('Maintenance &amp; Repair'!$L$1,Lists!$J$6:$J$8,0)-1,0))</f>
        <v>30261.220566406901</v>
      </c>
      <c r="E13">
        <f ca="1">IF($E$1&lt;=10, OFFSET(E7,MATCH('Maintenance &amp; Repair'!$L$1,Lists!$J$6:$J$8,0)-1,0), OFFSET(E10,MATCH('Maintenance &amp; Repair'!$L$1,Lists!$J$6:$J$8,0)-1,0))</f>
        <v>32095.929495202425</v>
      </c>
      <c r="F13">
        <f ca="1">IF($E$1&lt;=10, OFFSET(F7,MATCH('Maintenance &amp; Repair'!$L$1,Lists!$J$6:$J$8,0)-1,0), OFFSET(F10,MATCH('Maintenance &amp; Repair'!$L$1,Lists!$J$6:$J$8,0)-1,0))</f>
        <v>38466.267943635161</v>
      </c>
      <c r="G13">
        <f ca="1">IF($E$1&lt;=10, OFFSET(G7,MATCH('Maintenance &amp; Repair'!$L$1,Lists!$J$6:$J$8,0)-1,0), OFFSET(G10,MATCH('Maintenance &amp; Repair'!$L$1,Lists!$J$6:$J$8,0)-1,0))</f>
        <v>40354.403463353505</v>
      </c>
      <c r="H13">
        <f ca="1">IF($E$1&lt;=10, OFFSET(H7,MATCH('Maintenance &amp; Repair'!$L$1,Lists!$J$6:$J$8,0)-1,0), OFFSET(H10,MATCH('Maintenance &amp; Repair'!$L$1,Lists!$J$6:$J$8,0)-1,0))</f>
        <v>39330.131179694064</v>
      </c>
      <c r="I13">
        <f ca="1">IF($E$1&lt;=10, OFFSET(I7,MATCH('Maintenance &amp; Repair'!$L$1,Lists!$J$6:$J$8,0)-1,0), OFFSET(I10,MATCH('Maintenance &amp; Repair'!$L$1,Lists!$J$6:$J$8,0)-1,0))</f>
        <v>40176.9998261781</v>
      </c>
      <c r="J13">
        <f ca="1">IF($E$1&lt;=10, OFFSET(J7,MATCH('Maintenance &amp; Repair'!$L$1,Lists!$J$6:$J$8,0)-1,0), OFFSET(J10,MATCH('Maintenance &amp; Repair'!$L$1,Lists!$J$6:$J$8,0)-1,0))</f>
        <v>40567.150198495016</v>
      </c>
      <c r="K13">
        <f ca="1">IF($E$1&lt;=10, OFFSET(K7,MATCH('Maintenance &amp; Repair'!$L$1,Lists!$J$6:$J$8,0)-1,0), OFFSET(K10,MATCH('Maintenance &amp; Repair'!$L$1,Lists!$J$6:$J$8,0)-1,0))</f>
        <v>40646.803228155441</v>
      </c>
      <c r="L13">
        <f ca="1">IF($E$1&lt;=10, OFFSET(L7,MATCH('Maintenance &amp; Repair'!$L$1,Lists!$J$6:$J$8,0)-1,0), OFFSET(L10,MATCH('Maintenance &amp; Repair'!$L$1,Lists!$J$6:$J$8,0)-1,0))</f>
        <v>43051.49632571471</v>
      </c>
      <c r="M13">
        <f ca="1">IF($E$1&lt;=10, OFFSET(M7,MATCH('Maintenance &amp; Repair'!$L$1,Lists!$J$6:$J$8,0)-1,0), OFFSET(M10,MATCH('Maintenance &amp; Repair'!$L$1,Lists!$J$6:$J$8,0)-1,0))</f>
        <v>41670.921219783231</v>
      </c>
      <c r="N13">
        <f ca="1">IF($E$1&lt;=10, OFFSET(N7,MATCH('Maintenance &amp; Repair'!$L$1,Lists!$J$6:$J$8,0)-1,0), OFFSET(N10,MATCH('Maintenance &amp; Repair'!$L$1,Lists!$J$6:$J$8,0)-1,0))</f>
        <v>39857.209050631638</v>
      </c>
      <c r="O13">
        <f ca="1">IF($E$1&lt;=10, OFFSET(O7,MATCH('Maintenance &amp; Repair'!$L$1,Lists!$J$6:$J$8,0)-1,0), OFFSET(O10,MATCH('Maintenance &amp; Repair'!$L$1,Lists!$J$6:$J$8,0)-1,0))</f>
        <v>36385.107902253396</v>
      </c>
      <c r="P13">
        <f ca="1">IF($E$1&lt;=10, OFFSET(P7,MATCH('Maintenance &amp; Repair'!$L$1,Lists!$J$6:$J$8,0)-1,0), OFFSET(P10,MATCH('Maintenance &amp; Repair'!$L$1,Lists!$J$6:$J$8,0)-1,0))</f>
        <v>35027.933498693274</v>
      </c>
      <c r="Q13">
        <f ca="1">IF($E$1&lt;=10, OFFSET(Q7,MATCH('Maintenance &amp; Repair'!$L$1,Lists!$J$6:$J$8,0)-1,0), OFFSET(Q10,MATCH('Maintenance &amp; Repair'!$L$1,Lists!$J$6:$J$8,0)-1,0))</f>
        <v>31095.486941678497</v>
      </c>
      <c r="R13">
        <f ca="1">IF($E$1&lt;=10, OFFSET(R7,MATCH('Maintenance &amp; Repair'!$L$1,Lists!$J$6:$J$8,0)-1,0), OFFSET(R10,MATCH('Maintenance &amp; Repair'!$L$1,Lists!$J$6:$J$8,0)-1,0))</f>
        <v>30617.863234052627</v>
      </c>
      <c r="S13">
        <f ca="1">IF($E$1&lt;=10, OFFSET(S7,MATCH('Maintenance &amp; Repair'!$L$1,Lists!$J$6:$J$8,0)-1,0), OFFSET(S10,MATCH('Maintenance &amp; Repair'!$L$1,Lists!$J$6:$J$8,0)-1,0))</f>
        <v>29095.347939285781</v>
      </c>
      <c r="T13">
        <f ca="1">IF($E$1&lt;=10, OFFSET(T7,MATCH('Maintenance &amp; Repair'!$L$1,Lists!$J$6:$J$8,0)-1,0), OFFSET(T10,MATCH('Maintenance &amp; Repair'!$L$1,Lists!$J$6:$J$8,0)-1,0))</f>
        <v>29055.822274238162</v>
      </c>
      <c r="U13">
        <f ca="1">IF($E$1&lt;=10, OFFSET(U7,MATCH('Maintenance &amp; Repair'!$L$1,Lists!$J$6:$J$8,0)-1,0), OFFSET(U10,MATCH('Maintenance &amp; Repair'!$L$1,Lists!$J$6:$J$8,0)-1,0))</f>
        <v>25646.232791625964</v>
      </c>
      <c r="V13">
        <f ca="1">IF($E$1&lt;=10, OFFSET(V7,MATCH('Maintenance &amp; Repair'!$L$1,Lists!$J$6:$J$8,0)-1,0), OFFSET(V10,MATCH('Maintenance &amp; Repair'!$L$1,Lists!$J$6:$J$8,0)-1,0))</f>
        <v>23916.952995107316</v>
      </c>
      <c r="W13">
        <f ca="1">IF($E$1&lt;=10, OFFSET(W7,MATCH('Maintenance &amp; Repair'!$L$1,Lists!$J$6:$J$8,0)-1,0), OFFSET(W10,MATCH('Maintenance &amp; Repair'!$L$1,Lists!$J$6:$J$8,0)-1,0))</f>
        <v>22276.454961034411</v>
      </c>
      <c r="X13">
        <f ca="1">IF($E$1&lt;=10, OFFSET(X7,MATCH('Maintenance &amp; Repair'!$L$1,Lists!$J$6:$J$8,0)-1,0), OFFSET(X10,MATCH('Maintenance &amp; Repair'!$L$1,Lists!$J$6:$J$8,0)-1,0))</f>
        <v>20724.336656662537</v>
      </c>
      <c r="Y13">
        <f ca="1">IF($E$1&lt;=10, OFFSET(Y7,MATCH('Maintenance &amp; Repair'!$L$1,Lists!$J$6:$J$8,0)-1,0), OFFSET(Y10,MATCH('Maintenance &amp; Repair'!$L$1,Lists!$J$6:$J$8,0)-1,0))</f>
        <v>19259.382452342295</v>
      </c>
      <c r="Z13">
        <f ca="1">IF($E$1&lt;=10, OFFSET(Z7,MATCH('Maintenance &amp; Repair'!$L$1,Lists!$J$6:$J$8,0)-1,0), OFFSET(Z10,MATCH('Maintenance &amp; Repair'!$L$1,Lists!$J$6:$J$8,0)-1,0))</f>
        <v>17879.730483192328</v>
      </c>
      <c r="AA13">
        <f ca="1">IF($E$1&lt;=10, OFFSET(AA7,MATCH('Maintenance &amp; Repair'!$L$1,Lists!$J$6:$J$8,0)-1,0), OFFSET(AA10,MATCH('Maintenance &amp; Repair'!$L$1,Lists!$J$6:$J$8,0)-1,0))</f>
        <v>16583.014611870396</v>
      </c>
      <c r="AB13">
        <f ca="1">IF($E$1&lt;=10, OFFSET(AB7,MATCH('Maintenance &amp; Repair'!$L$1,Lists!$J$6:$J$8,0)-1,0), OFFSET(AB10,MATCH('Maintenance &amp; Repair'!$L$1,Lists!$J$6:$J$8,0)-1,0))</f>
        <v>15366.484404894078</v>
      </c>
      <c r="AC13">
        <f ca="1">IF($E$1&lt;=10, OFFSET(AC7,MATCH('Maintenance &amp; Repair'!$L$1,Lists!$J$6:$J$8,0)-1,0), OFFSET(AC10,MATCH('Maintenance &amp; Repair'!$L$1,Lists!$J$6:$J$8,0)-1,0))</f>
        <v>14227.106105829025</v>
      </c>
      <c r="AD13">
        <f ca="1">IF($E$1&lt;=10, OFFSET(AD7,MATCH('Maintenance &amp; Repair'!$L$1,Lists!$J$6:$J$8,0)-1,0), OFFSET(AD10,MATCH('Maintenance &amp; Repair'!$L$1,Lists!$J$6:$J$8,0)-1,0))</f>
        <v>13161.647211294985</v>
      </c>
      <c r="AE13">
        <f ca="1">IF($E$1&lt;=10, OFFSET(AE7,MATCH('Maintenance &amp; Repair'!$L$1,Lists!$J$6:$J$8,0)-1,0), OFFSET(AE10,MATCH('Maintenance &amp; Repair'!$L$1,Lists!$J$6:$J$8,0)-1,0))</f>
        <v>12141.071951711243</v>
      </c>
      <c r="AF13">
        <f ca="1">IF($E$1&lt;=10, OFFSET(AF7,MATCH('Maintenance &amp; Repair'!$L$1,Lists!$J$6:$J$8,0)-1,0), OFFSET(AF10,MATCH('Maintenance &amp; Repair'!$L$1,Lists!$J$6:$J$8,0)-1,0))</f>
        <v>11136.967864885641</v>
      </c>
      <c r="AG13">
        <f ca="1">IF($E$1&lt;=10, OFFSET(AG7,MATCH('Maintenance &amp; Repair'!$L$1,Lists!$J$6:$J$8,0)-1,0), OFFSET(AG10,MATCH('Maintenance &amp; Repair'!$L$1,Lists!$J$6:$J$8,0)-1,0))</f>
        <v>10121.582766874057</v>
      </c>
      <c r="AH13">
        <f ca="1">IF($E$1&lt;=10, OFFSET(AH7,MATCH('Maintenance &amp; Repair'!$L$1,Lists!$J$6:$J$8,0)-1,0), OFFSET(AH10,MATCH('Maintenance &amp; Repair'!$L$1,Lists!$J$6:$J$8,0)-1,0))</f>
        <v>9067.8480231797748</v>
      </c>
      <c r="AI13">
        <f ca="1">IF($E$1&lt;=10, OFFSET(AI7,MATCH('Maintenance &amp; Repair'!$L$1,Lists!$J$6:$J$8,0)-1,0), OFFSET(AI10,MATCH('Maintenance &amp; Repair'!$L$1,Lists!$J$6:$J$8,0)-1,0))</f>
        <v>7949.3904977971879</v>
      </c>
      <c r="AJ13">
        <f ca="1">IF($E$1&lt;=10, OFFSET(AJ7,MATCH('Maintenance &amp; Repair'!$L$1,Lists!$J$6:$J$8,0)-1,0), OFFSET(AJ10,MATCH('Maintenance &amp; Repair'!$L$1,Lists!$J$6:$J$8,0)-1,0))</f>
        <v>7390.161735105894</v>
      </c>
      <c r="AK13">
        <f ca="1">IF($E$1&lt;=10, OFFSET(AK7,MATCH('Maintenance &amp; Repair'!$L$1,Lists!$J$6:$J$8,0)-1,0), OFFSET(AK10,MATCH('Maintenance &amp; Repair'!$L$1,Lists!$J$6:$J$8,0)-1,0))</f>
        <v>6809.3587118518335</v>
      </c>
    </row>
    <row r="15" spans="1:37" x14ac:dyDescent="0.45">
      <c r="B15">
        <v>0</v>
      </c>
      <c r="C15">
        <v>1</v>
      </c>
      <c r="D15">
        <v>2</v>
      </c>
      <c r="E15">
        <v>3</v>
      </c>
      <c r="F15">
        <v>4</v>
      </c>
      <c r="G15">
        <v>5</v>
      </c>
      <c r="H15">
        <v>6</v>
      </c>
      <c r="I15">
        <v>7</v>
      </c>
      <c r="J15">
        <v>8</v>
      </c>
      <c r="K15">
        <v>9</v>
      </c>
      <c r="L15">
        <v>10</v>
      </c>
      <c r="M15">
        <v>11</v>
      </c>
      <c r="N15">
        <v>12</v>
      </c>
      <c r="O15">
        <v>13</v>
      </c>
      <c r="P15">
        <v>14</v>
      </c>
      <c r="Q15">
        <v>15</v>
      </c>
      <c r="R15">
        <v>16</v>
      </c>
      <c r="S15">
        <v>17</v>
      </c>
      <c r="T15">
        <v>18</v>
      </c>
      <c r="U15">
        <v>19</v>
      </c>
      <c r="V15">
        <v>20</v>
      </c>
      <c r="W15">
        <v>21</v>
      </c>
      <c r="X15">
        <v>22</v>
      </c>
      <c r="Y15">
        <v>23</v>
      </c>
      <c r="Z15">
        <v>24</v>
      </c>
      <c r="AA15">
        <v>25</v>
      </c>
      <c r="AB15">
        <v>26</v>
      </c>
      <c r="AC15">
        <v>27</v>
      </c>
      <c r="AD15">
        <v>28</v>
      </c>
      <c r="AE15">
        <v>29</v>
      </c>
      <c r="AF15">
        <v>30</v>
      </c>
      <c r="AG15">
        <v>31</v>
      </c>
      <c r="AH15">
        <v>32</v>
      </c>
      <c r="AI15">
        <v>33</v>
      </c>
      <c r="AJ15">
        <v>34</v>
      </c>
      <c r="AK15">
        <v>35</v>
      </c>
    </row>
    <row r="16" spans="1:37" x14ac:dyDescent="0.45">
      <c r="A16" t="s">
        <v>387</v>
      </c>
      <c r="B16">
        <f>B69*0</f>
        <v>0</v>
      </c>
      <c r="C16">
        <f ca="1">IF($L$1="Consumer Reports", 0,   C69*VMT!C4)</f>
        <v>0</v>
      </c>
      <c r="D16">
        <f ca="1">IF($L$1="Consumer Reports", 0,   D69*VMT!D4)</f>
        <v>0</v>
      </c>
      <c r="E16">
        <f ca="1">IF($L$1="Consumer Reports", 0,   E69*VMT!E4)</f>
        <v>0</v>
      </c>
      <c r="F16">
        <f ca="1">IF($L$1="Consumer Reports", 0,   F69*VMT!F4)</f>
        <v>0</v>
      </c>
      <c r="G16">
        <f ca="1">IF($L$1="Consumer Reports", 0,   G69*VMT!G4)</f>
        <v>0</v>
      </c>
      <c r="H16">
        <f ca="1">IF($L$1="Consumer Reports", 0,   H69*VMT!H4)</f>
        <v>0</v>
      </c>
      <c r="I16">
        <f ca="1">IF($L$1="Consumer Reports", 0,   I69*VMT!I4)</f>
        <v>0</v>
      </c>
      <c r="J16">
        <f ca="1">IF($L$1="Consumer Reports", 0,   J69*VMT!J4)</f>
        <v>0</v>
      </c>
      <c r="K16">
        <f ca="1">IF($L$1="Consumer Reports", 0,   K69*VMT!K4)</f>
        <v>0</v>
      </c>
      <c r="L16">
        <f ca="1">IF($L$1="Consumer Reports", 0,   L69*VMT!L4)</f>
        <v>0</v>
      </c>
      <c r="M16">
        <f ca="1">IF($L$1="Consumer Reports", 0,   M69*VMT!M4)</f>
        <v>0</v>
      </c>
      <c r="N16">
        <f ca="1">IF($L$1="Consumer Reports", 0,   N69*VMT!N4)</f>
        <v>0</v>
      </c>
      <c r="O16">
        <f ca="1">IF($L$1="Consumer Reports", 0,   O69*VMT!O4)</f>
        <v>0</v>
      </c>
      <c r="P16">
        <f ca="1">IF($L$1="Consumer Reports", 0,   P69*VMT!P4)</f>
        <v>0</v>
      </c>
      <c r="Q16">
        <f ca="1">IF($L$1="Consumer Reports", 0,   Q69*VMT!Q4)</f>
        <v>0</v>
      </c>
      <c r="R16">
        <f ca="1">IF($L$1="Consumer Reports", 0,   R69*VMT!R4)</f>
        <v>0</v>
      </c>
      <c r="S16">
        <f ca="1">IF($L$1="Consumer Reports", 0,   S69*VMT!S4)</f>
        <v>0</v>
      </c>
      <c r="T16">
        <f ca="1">IF($L$1="Consumer Reports", 0,   T69*VMT!T4)</f>
        <v>0</v>
      </c>
      <c r="U16">
        <f ca="1">IF($L$1="Consumer Reports", 0,   U69*VMT!U4)</f>
        <v>0</v>
      </c>
      <c r="V16">
        <f ca="1">IF($L$1="Consumer Reports", 0,   V69*VMT!V4)</f>
        <v>0</v>
      </c>
      <c r="W16">
        <f ca="1">IF($L$1="Consumer Reports", 0,   W69*VMT!W4)</f>
        <v>0</v>
      </c>
      <c r="X16">
        <f ca="1">IF($L$1="Consumer Reports", 0,   X69*VMT!X4)</f>
        <v>0</v>
      </c>
      <c r="Y16">
        <f ca="1">IF($L$1="Consumer Reports", 0,   Y69*VMT!Y4)</f>
        <v>0</v>
      </c>
      <c r="Z16">
        <f ca="1">IF($L$1="Consumer Reports", 0,   Z69*VMT!Z4)</f>
        <v>0</v>
      </c>
      <c r="AA16">
        <f ca="1">IF($L$1="Consumer Reports", 0,   AA69*VMT!AA4)</f>
        <v>0</v>
      </c>
      <c r="AB16">
        <f ca="1">IF($L$1="Consumer Reports", 0,   AB69*VMT!AB4)</f>
        <v>0</v>
      </c>
      <c r="AC16">
        <f ca="1">IF($L$1="Consumer Reports", 0,   AC69*VMT!AC4)</f>
        <v>0</v>
      </c>
      <c r="AD16">
        <f ca="1">IF($L$1="Consumer Reports", 0,   AD69*VMT!AD4)</f>
        <v>0</v>
      </c>
      <c r="AE16">
        <f ca="1">IF($L$1="Consumer Reports", 0,   AE69*VMT!AE4)</f>
        <v>0</v>
      </c>
      <c r="AF16">
        <f ca="1">IF($L$1="Consumer Reports", 0,   AF69*VMT!AF4)</f>
        <v>0</v>
      </c>
      <c r="AG16">
        <f ca="1">IF($L$1="Consumer Reports", 0,   AG69*VMT!AG4)</f>
        <v>0</v>
      </c>
      <c r="AH16">
        <f ca="1">IF($L$1="Consumer Reports", 0,   AH69*VMT!AH4)</f>
        <v>0</v>
      </c>
      <c r="AI16">
        <f ca="1">IF($L$1="Consumer Reports", 0,   AI69*VMT!AI4)</f>
        <v>0</v>
      </c>
      <c r="AJ16">
        <f ca="1">IF($L$1="Consumer Reports", 0,   AJ69*VMT!AJ4)</f>
        <v>0</v>
      </c>
      <c r="AK16">
        <f ca="1">IF($L$1="Consumer Reports", 0,   AK69*VMT!AK4)</f>
        <v>0</v>
      </c>
    </row>
    <row r="17" spans="1:37" x14ac:dyDescent="0.45">
      <c r="A17" t="s">
        <v>388</v>
      </c>
      <c r="B17">
        <v>0</v>
      </c>
      <c r="C17">
        <f t="shared" ref="C17:AK17" ca="1" si="4">SUMPRODUCT(FLOOR(((C5+$D$76:$D$82-$C$76:$C$82)/$D$76:$D$82),1) - FLOOR(((B5+$D$76:$D$82-$C$76:$C$82)/$D$76:$D$82),1), $M$76:$M$82)</f>
        <v>0</v>
      </c>
      <c r="D17">
        <f t="shared" ca="1" si="4"/>
        <v>0</v>
      </c>
      <c r="E17">
        <f t="shared" ca="1" si="4"/>
        <v>0</v>
      </c>
      <c r="F17">
        <f t="shared" ca="1" si="4"/>
        <v>0</v>
      </c>
      <c r="G17">
        <f t="shared" ca="1" si="4"/>
        <v>0</v>
      </c>
      <c r="H17">
        <f t="shared" ca="1" si="4"/>
        <v>0</v>
      </c>
      <c r="I17">
        <f t="shared" ca="1" si="4"/>
        <v>0</v>
      </c>
      <c r="J17">
        <f t="shared" ca="1" si="4"/>
        <v>0</v>
      </c>
      <c r="K17">
        <f t="shared" ca="1" si="4"/>
        <v>0</v>
      </c>
      <c r="L17">
        <f t="shared" ca="1" si="4"/>
        <v>0</v>
      </c>
      <c r="M17">
        <f t="shared" ca="1" si="4"/>
        <v>0</v>
      </c>
      <c r="N17">
        <f t="shared" ca="1" si="4"/>
        <v>0</v>
      </c>
      <c r="O17">
        <f t="shared" ca="1" si="4"/>
        <v>0</v>
      </c>
      <c r="P17">
        <f t="shared" ca="1" si="4"/>
        <v>0</v>
      </c>
      <c r="Q17">
        <f t="shared" ca="1" si="4"/>
        <v>0</v>
      </c>
      <c r="R17">
        <f t="shared" ca="1" si="4"/>
        <v>0</v>
      </c>
      <c r="S17">
        <f t="shared" ca="1" si="4"/>
        <v>0</v>
      </c>
      <c r="T17">
        <f t="shared" ca="1" si="4"/>
        <v>0</v>
      </c>
      <c r="U17">
        <f t="shared" ca="1" si="4"/>
        <v>0</v>
      </c>
      <c r="V17">
        <f t="shared" ca="1" si="4"/>
        <v>0</v>
      </c>
      <c r="W17">
        <f t="shared" ca="1" si="4"/>
        <v>0</v>
      </c>
      <c r="X17">
        <f t="shared" ca="1" si="4"/>
        <v>0</v>
      </c>
      <c r="Y17">
        <f t="shared" ca="1" si="4"/>
        <v>0</v>
      </c>
      <c r="Z17">
        <f t="shared" ca="1" si="4"/>
        <v>0</v>
      </c>
      <c r="AA17">
        <f t="shared" ca="1" si="4"/>
        <v>0</v>
      </c>
      <c r="AB17">
        <f t="shared" ca="1" si="4"/>
        <v>0</v>
      </c>
      <c r="AC17">
        <f t="shared" ca="1" si="4"/>
        <v>0</v>
      </c>
      <c r="AD17">
        <f t="shared" ca="1" si="4"/>
        <v>0</v>
      </c>
      <c r="AE17">
        <f t="shared" ca="1" si="4"/>
        <v>0</v>
      </c>
      <c r="AF17">
        <f t="shared" ca="1" si="4"/>
        <v>0</v>
      </c>
      <c r="AG17">
        <f t="shared" ca="1" si="4"/>
        <v>0</v>
      </c>
      <c r="AH17">
        <f t="shared" ca="1" si="4"/>
        <v>0</v>
      </c>
      <c r="AI17">
        <f t="shared" ca="1" si="4"/>
        <v>0</v>
      </c>
      <c r="AJ17">
        <f t="shared" ca="1" si="4"/>
        <v>0</v>
      </c>
      <c r="AK17">
        <f t="shared" ca="1" si="4"/>
        <v>0</v>
      </c>
    </row>
    <row r="18" spans="1:37" x14ac:dyDescent="0.45">
      <c r="A18" t="s">
        <v>308</v>
      </c>
      <c r="C18">
        <f t="shared" ref="C18:AE18" ca="1" si="5">_xlfn.AGGREGATE(1,6,A17:E17)</f>
        <v>0</v>
      </c>
      <c r="D18">
        <f t="shared" ca="1" si="5"/>
        <v>0</v>
      </c>
      <c r="E18">
        <f t="shared" ca="1" si="5"/>
        <v>0</v>
      </c>
      <c r="F18">
        <f t="shared" ca="1" si="5"/>
        <v>0</v>
      </c>
      <c r="G18">
        <f t="shared" ca="1" si="5"/>
        <v>0</v>
      </c>
      <c r="H18">
        <f t="shared" ca="1" si="5"/>
        <v>0</v>
      </c>
      <c r="I18">
        <f t="shared" ca="1" si="5"/>
        <v>0</v>
      </c>
      <c r="J18">
        <f t="shared" ca="1" si="5"/>
        <v>0</v>
      </c>
      <c r="K18">
        <f t="shared" ca="1" si="5"/>
        <v>0</v>
      </c>
      <c r="L18">
        <f t="shared" ca="1" si="5"/>
        <v>0</v>
      </c>
      <c r="M18">
        <f t="shared" ca="1" si="5"/>
        <v>0</v>
      </c>
      <c r="N18">
        <f t="shared" ca="1" si="5"/>
        <v>0</v>
      </c>
      <c r="O18">
        <f t="shared" ca="1" si="5"/>
        <v>0</v>
      </c>
      <c r="P18">
        <f t="shared" ca="1" si="5"/>
        <v>0</v>
      </c>
      <c r="Q18">
        <f t="shared" ca="1" si="5"/>
        <v>0</v>
      </c>
      <c r="R18">
        <f t="shared" ca="1" si="5"/>
        <v>0</v>
      </c>
      <c r="S18">
        <f t="shared" ca="1" si="5"/>
        <v>0</v>
      </c>
      <c r="T18">
        <f t="shared" ca="1" si="5"/>
        <v>0</v>
      </c>
      <c r="U18">
        <f t="shared" ca="1" si="5"/>
        <v>0</v>
      </c>
      <c r="V18">
        <f t="shared" ca="1" si="5"/>
        <v>0</v>
      </c>
      <c r="W18">
        <f t="shared" ca="1" si="5"/>
        <v>0</v>
      </c>
      <c r="X18">
        <f t="shared" ca="1" si="5"/>
        <v>0</v>
      </c>
      <c r="Y18">
        <f t="shared" ca="1" si="5"/>
        <v>0</v>
      </c>
      <c r="Z18">
        <f t="shared" ca="1" si="5"/>
        <v>0</v>
      </c>
      <c r="AA18">
        <f t="shared" ca="1" si="5"/>
        <v>0</v>
      </c>
      <c r="AB18">
        <f t="shared" ca="1" si="5"/>
        <v>0</v>
      </c>
      <c r="AC18">
        <f t="shared" ca="1" si="5"/>
        <v>0</v>
      </c>
      <c r="AD18">
        <f t="shared" ca="1" si="5"/>
        <v>0</v>
      </c>
      <c r="AE18">
        <f t="shared" ca="1" si="5"/>
        <v>0</v>
      </c>
      <c r="AF18">
        <f t="shared" ref="AF18:AK18" ca="1" si="6">_xlfn.AGGREGATE(1,6,AD17:AH17)</f>
        <v>0</v>
      </c>
      <c r="AG18">
        <f t="shared" ca="1" si="6"/>
        <v>0</v>
      </c>
      <c r="AH18">
        <f t="shared" ca="1" si="6"/>
        <v>0</v>
      </c>
      <c r="AI18">
        <f t="shared" ca="1" si="6"/>
        <v>0</v>
      </c>
      <c r="AJ18">
        <f t="shared" ca="1" si="6"/>
        <v>0</v>
      </c>
      <c r="AK18">
        <f t="shared" ca="1" si="6"/>
        <v>0</v>
      </c>
    </row>
    <row r="19" spans="1:37" x14ac:dyDescent="0.45">
      <c r="A19" t="s">
        <v>385</v>
      </c>
    </row>
    <row r="20" spans="1:37" x14ac:dyDescent="0.45">
      <c r="A20" t="s">
        <v>386</v>
      </c>
    </row>
    <row r="22" spans="1:37" x14ac:dyDescent="0.45">
      <c r="A22" t="s">
        <v>40</v>
      </c>
      <c r="C22">
        <f ca="1">IF( $E$1&lt;=10,  OFFSET(C17,MATCH('Maintenance &amp; Repair'!$L$1,Lists!$J$6:$J$8,0)-1,0) + C16,   OFFSET(C19,MATCH('Maintenance &amp; Repair'!$L$1,Lists!$J$6:$J$8,0)-1,0))</f>
        <v>0</v>
      </c>
      <c r="D22">
        <f ca="1">IF( $E$1&lt;=10,  OFFSET(D17,MATCH('Maintenance &amp; Repair'!$L$1,Lists!$J$6:$J$8,0)-1,0) + D16,   OFFSET(D19,MATCH('Maintenance &amp; Repair'!$L$1,Lists!$J$6:$J$8,0)-1,0))</f>
        <v>0</v>
      </c>
      <c r="E22">
        <f ca="1">IF( $E$1&lt;=10,  OFFSET(E17,MATCH('Maintenance &amp; Repair'!$L$1,Lists!$J$6:$J$8,0)-1,0) + E16,   OFFSET(E19,MATCH('Maintenance &amp; Repair'!$L$1,Lists!$J$6:$J$8,0)-1,0))</f>
        <v>0</v>
      </c>
      <c r="F22">
        <f ca="1">IF( $E$1&lt;=10,  OFFSET(F17,MATCH('Maintenance &amp; Repair'!$L$1,Lists!$J$6:$J$8,0)-1,0) + F16,   OFFSET(F19,MATCH('Maintenance &amp; Repair'!$L$1,Lists!$J$6:$J$8,0)-1,0))</f>
        <v>0</v>
      </c>
      <c r="G22">
        <f ca="1">IF( $E$1&lt;=10,  OFFSET(G17,MATCH('Maintenance &amp; Repair'!$L$1,Lists!$J$6:$J$8,0)-1,0) + G16,   OFFSET(G19,MATCH('Maintenance &amp; Repair'!$L$1,Lists!$J$6:$J$8,0)-1,0))</f>
        <v>0</v>
      </c>
      <c r="H22">
        <f ca="1">IF( $E$1&lt;=10,  OFFSET(H17,MATCH('Maintenance &amp; Repair'!$L$1,Lists!$J$6:$J$8,0)-1,0) + H16,   OFFSET(H19,MATCH('Maintenance &amp; Repair'!$L$1,Lists!$J$6:$J$8,0)-1,0))</f>
        <v>0</v>
      </c>
      <c r="I22">
        <f ca="1">IF( $E$1&lt;=10,  OFFSET(I17,MATCH('Maintenance &amp; Repair'!$L$1,Lists!$J$6:$J$8,0)-1,0) + I16,   OFFSET(I19,MATCH('Maintenance &amp; Repair'!$L$1,Lists!$J$6:$J$8,0)-1,0))</f>
        <v>0</v>
      </c>
      <c r="J22">
        <f ca="1">IF( $E$1&lt;=10,  OFFSET(J17,MATCH('Maintenance &amp; Repair'!$L$1,Lists!$J$6:$J$8,0)-1,0) + J16,   OFFSET(J19,MATCH('Maintenance &amp; Repair'!$L$1,Lists!$J$6:$J$8,0)-1,0))</f>
        <v>0</v>
      </c>
      <c r="K22">
        <f ca="1">IF( $E$1&lt;=10,  OFFSET(K17,MATCH('Maintenance &amp; Repair'!$L$1,Lists!$J$6:$J$8,0)-1,0) + K16,   OFFSET(K19,MATCH('Maintenance &amp; Repair'!$L$1,Lists!$J$6:$J$8,0)-1,0))</f>
        <v>0</v>
      </c>
      <c r="L22">
        <f ca="1">IF( $E$1&lt;=10,  OFFSET(L17,MATCH('Maintenance &amp; Repair'!$L$1,Lists!$J$6:$J$8,0)-1,0) + L16,   OFFSET(L19,MATCH('Maintenance &amp; Repair'!$L$1,Lists!$J$6:$J$8,0)-1,0))</f>
        <v>0</v>
      </c>
      <c r="M22">
        <f ca="1">IF( $E$1&lt;=10,  OFFSET(M17,MATCH('Maintenance &amp; Repair'!$L$1,Lists!$J$6:$J$8,0)-1,0) + M16,   OFFSET(M19,MATCH('Maintenance &amp; Repair'!$L$1,Lists!$J$6:$J$8,0)-1,0))</f>
        <v>0</v>
      </c>
      <c r="N22">
        <f ca="1">IF( $E$1&lt;=10,  OFFSET(N17,MATCH('Maintenance &amp; Repair'!$L$1,Lists!$J$6:$J$8,0)-1,0) + N16,   OFFSET(N19,MATCH('Maintenance &amp; Repair'!$L$1,Lists!$J$6:$J$8,0)-1,0))</f>
        <v>0</v>
      </c>
      <c r="O22">
        <f ca="1">IF( $E$1&lt;=10,  OFFSET(O17,MATCH('Maintenance &amp; Repair'!$L$1,Lists!$J$6:$J$8,0)-1,0) + O16,   OFFSET(O19,MATCH('Maintenance &amp; Repair'!$L$1,Lists!$J$6:$J$8,0)-1,0))</f>
        <v>0</v>
      </c>
      <c r="P22">
        <f ca="1">IF( $E$1&lt;=10,  OFFSET(P17,MATCH('Maintenance &amp; Repair'!$L$1,Lists!$J$6:$J$8,0)-1,0) + P16,   OFFSET(P19,MATCH('Maintenance &amp; Repair'!$L$1,Lists!$J$6:$J$8,0)-1,0))</f>
        <v>0</v>
      </c>
      <c r="Q22">
        <f ca="1">IF( $E$1&lt;=10,  OFFSET(Q17,MATCH('Maintenance &amp; Repair'!$L$1,Lists!$J$6:$J$8,0)-1,0) + Q16,   OFFSET(Q19,MATCH('Maintenance &amp; Repair'!$L$1,Lists!$J$6:$J$8,0)-1,0))</f>
        <v>0</v>
      </c>
      <c r="R22">
        <f ca="1">IF( $E$1&lt;=10,  OFFSET(R17,MATCH('Maintenance &amp; Repair'!$L$1,Lists!$J$6:$J$8,0)-1,0) + R16,   OFFSET(R19,MATCH('Maintenance &amp; Repair'!$L$1,Lists!$J$6:$J$8,0)-1,0))</f>
        <v>0</v>
      </c>
      <c r="S22">
        <f ca="1">IF( $E$1&lt;=10,  OFFSET(S17,MATCH('Maintenance &amp; Repair'!$L$1,Lists!$J$6:$J$8,0)-1,0) + S16,   OFFSET(S19,MATCH('Maintenance &amp; Repair'!$L$1,Lists!$J$6:$J$8,0)-1,0))</f>
        <v>0</v>
      </c>
      <c r="T22">
        <f ca="1">IF( $E$1&lt;=10,  OFFSET(T17,MATCH('Maintenance &amp; Repair'!$L$1,Lists!$J$6:$J$8,0)-1,0) + T16,   OFFSET(T19,MATCH('Maintenance &amp; Repair'!$L$1,Lists!$J$6:$J$8,0)-1,0))</f>
        <v>0</v>
      </c>
      <c r="U22">
        <f ca="1">IF( $E$1&lt;=10,  OFFSET(U17,MATCH('Maintenance &amp; Repair'!$L$1,Lists!$J$6:$J$8,0)-1,0) + U16,   OFFSET(U19,MATCH('Maintenance &amp; Repair'!$L$1,Lists!$J$6:$J$8,0)-1,0))</f>
        <v>0</v>
      </c>
      <c r="V22">
        <f ca="1">IF( $E$1&lt;=10,  OFFSET(V17,MATCH('Maintenance &amp; Repair'!$L$1,Lists!$J$6:$J$8,0)-1,0) + V16,   OFFSET(V19,MATCH('Maintenance &amp; Repair'!$L$1,Lists!$J$6:$J$8,0)-1,0))</f>
        <v>0</v>
      </c>
      <c r="W22">
        <f ca="1">IF( $E$1&lt;=10,  OFFSET(W17,MATCH('Maintenance &amp; Repair'!$L$1,Lists!$J$6:$J$8,0)-1,0) + W16,   OFFSET(W19,MATCH('Maintenance &amp; Repair'!$L$1,Lists!$J$6:$J$8,0)-1,0))</f>
        <v>0</v>
      </c>
      <c r="X22">
        <f ca="1">IF( $E$1&lt;=10,  OFFSET(X17,MATCH('Maintenance &amp; Repair'!$L$1,Lists!$J$6:$J$8,0)-1,0) + X16,   OFFSET(X19,MATCH('Maintenance &amp; Repair'!$L$1,Lists!$J$6:$J$8,0)-1,0))</f>
        <v>0</v>
      </c>
      <c r="Y22">
        <f ca="1">IF( $E$1&lt;=10,  OFFSET(Y17,MATCH('Maintenance &amp; Repair'!$L$1,Lists!$J$6:$J$8,0)-1,0) + Y16,   OFFSET(Y19,MATCH('Maintenance &amp; Repair'!$L$1,Lists!$J$6:$J$8,0)-1,0))</f>
        <v>0</v>
      </c>
      <c r="Z22">
        <f ca="1">IF( $E$1&lt;=10,  OFFSET(Z17,MATCH('Maintenance &amp; Repair'!$L$1,Lists!$J$6:$J$8,0)-1,0) + Z16,   OFFSET(Z19,MATCH('Maintenance &amp; Repair'!$L$1,Lists!$J$6:$J$8,0)-1,0))</f>
        <v>0</v>
      </c>
      <c r="AA22">
        <f ca="1">IF( $E$1&lt;=10,  OFFSET(AA17,MATCH('Maintenance &amp; Repair'!$L$1,Lists!$J$6:$J$8,0)-1,0) + AA16,   OFFSET(AA19,MATCH('Maintenance &amp; Repair'!$L$1,Lists!$J$6:$J$8,0)-1,0))</f>
        <v>0</v>
      </c>
      <c r="AB22">
        <f ca="1">IF( $E$1&lt;=10,  OFFSET(AB17,MATCH('Maintenance &amp; Repair'!$L$1,Lists!$J$6:$J$8,0)-1,0) + AB16,   OFFSET(AB19,MATCH('Maintenance &amp; Repair'!$L$1,Lists!$J$6:$J$8,0)-1,0))</f>
        <v>0</v>
      </c>
      <c r="AC22">
        <f ca="1">IF( $E$1&lt;=10,  OFFSET(AC17,MATCH('Maintenance &amp; Repair'!$L$1,Lists!$J$6:$J$8,0)-1,0) + AC16,   OFFSET(AC19,MATCH('Maintenance &amp; Repair'!$L$1,Lists!$J$6:$J$8,0)-1,0))</f>
        <v>0</v>
      </c>
      <c r="AD22">
        <f ca="1">IF( $E$1&lt;=10,  OFFSET(AD17,MATCH('Maintenance &amp; Repair'!$L$1,Lists!$J$6:$J$8,0)-1,0) + AD16,   OFFSET(AD19,MATCH('Maintenance &amp; Repair'!$L$1,Lists!$J$6:$J$8,0)-1,0))</f>
        <v>0</v>
      </c>
      <c r="AE22">
        <f ca="1">IF( $E$1&lt;=10,  OFFSET(AE17,MATCH('Maintenance &amp; Repair'!$L$1,Lists!$J$6:$J$8,0)-1,0) + AE16,   OFFSET(AE19,MATCH('Maintenance &amp; Repair'!$L$1,Lists!$J$6:$J$8,0)-1,0))</f>
        <v>0</v>
      </c>
      <c r="AF22">
        <f ca="1">IF( $E$1&lt;=10,  OFFSET(AF17,MATCH('Maintenance &amp; Repair'!$L$1,Lists!$J$6:$J$8,0)-1,0) + AF16,   OFFSET(AF19,MATCH('Maintenance &amp; Repair'!$L$1,Lists!$J$6:$J$8,0)-1,0))</f>
        <v>0</v>
      </c>
      <c r="AG22">
        <f ca="1">IF( $E$1&lt;=10,  OFFSET(AG17,MATCH('Maintenance &amp; Repair'!$L$1,Lists!$J$6:$J$8,0)-1,0) + AG16,   OFFSET(AG19,MATCH('Maintenance &amp; Repair'!$L$1,Lists!$J$6:$J$8,0)-1,0))</f>
        <v>0</v>
      </c>
      <c r="AH22">
        <f ca="1">IF( $E$1&lt;=10,  OFFSET(AH17,MATCH('Maintenance &amp; Repair'!$L$1,Lists!$J$6:$J$8,0)-1,0) + AH16,   OFFSET(AH19,MATCH('Maintenance &amp; Repair'!$L$1,Lists!$J$6:$J$8,0)-1,0))</f>
        <v>0</v>
      </c>
      <c r="AI22">
        <f ca="1">IF( $E$1&lt;=10,  OFFSET(AI17,MATCH('Maintenance &amp; Repair'!$L$1,Lists!$J$6:$J$8,0)-1,0) + AI16,   OFFSET(AI19,MATCH('Maintenance &amp; Repair'!$L$1,Lists!$J$6:$J$8,0)-1,0))</f>
        <v>0</v>
      </c>
      <c r="AJ22">
        <f ca="1">IF( $E$1&lt;=10,  OFFSET(AJ17,MATCH('Maintenance &amp; Repair'!$L$1,Lists!$J$6:$J$8,0)-1,0) + AJ16,   OFFSET(AJ19,MATCH('Maintenance &amp; Repair'!$L$1,Lists!$J$6:$J$8,0)-1,0))</f>
        <v>0</v>
      </c>
      <c r="AK22">
        <f ca="1">IF( $E$1&lt;=10,  OFFSET(AK17,MATCH('Maintenance &amp; Repair'!$L$1,Lists!$J$6:$J$8,0)-1,0) + AK16,   OFFSET(AK19,MATCH('Maintenance &amp; Repair'!$L$1,Lists!$J$6:$J$8,0)-1,0))</f>
        <v>0</v>
      </c>
    </row>
    <row r="24" spans="1:37" x14ac:dyDescent="0.45">
      <c r="D24" t="s">
        <v>20</v>
      </c>
      <c r="F24" s="136" t="s">
        <v>80</v>
      </c>
      <c r="G24" s="136"/>
      <c r="H24" s="136"/>
      <c r="I24" s="136"/>
      <c r="J24" s="136"/>
      <c r="K24" s="136"/>
    </row>
    <row r="25" spans="1:37" x14ac:dyDescent="0.45">
      <c r="A25" t="s">
        <v>81</v>
      </c>
      <c r="B25" t="s">
        <v>13</v>
      </c>
      <c r="C25" t="s">
        <v>16</v>
      </c>
      <c r="D25" t="s">
        <v>12</v>
      </c>
      <c r="F25" t="s">
        <v>42</v>
      </c>
      <c r="G25" t="s">
        <v>43</v>
      </c>
      <c r="H25" t="s">
        <v>427</v>
      </c>
      <c r="I25" t="s">
        <v>44</v>
      </c>
      <c r="J25" t="s">
        <v>45</v>
      </c>
      <c r="K25" t="s">
        <v>46</v>
      </c>
      <c r="M25" t="s">
        <v>305</v>
      </c>
    </row>
    <row r="26" spans="1:37" x14ac:dyDescent="0.45">
      <c r="A26" t="s">
        <v>283</v>
      </c>
      <c r="C26" s="46">
        <v>7500</v>
      </c>
      <c r="D26" s="46">
        <v>7500</v>
      </c>
      <c r="F26" s="14">
        <v>65</v>
      </c>
      <c r="G26" s="14">
        <v>65</v>
      </c>
      <c r="H26" s="14">
        <v>65</v>
      </c>
      <c r="M26">
        <f t="shared" ref="M26:M64" ca="1" si="7">OFFSET(E26,0,MATCH($B$1,$F$25:$K$25,0))</f>
        <v>0</v>
      </c>
    </row>
    <row r="27" spans="1:37" x14ac:dyDescent="0.45">
      <c r="A27" t="s">
        <v>283</v>
      </c>
      <c r="C27" s="46">
        <v>9000</v>
      </c>
      <c r="D27" s="46">
        <v>9000</v>
      </c>
      <c r="F27" s="14"/>
      <c r="I27" s="14">
        <v>65</v>
      </c>
      <c r="M27">
        <f t="shared" ca="1" si="7"/>
        <v>0</v>
      </c>
    </row>
    <row r="28" spans="1:37" x14ac:dyDescent="0.45">
      <c r="A28" t="s">
        <v>284</v>
      </c>
      <c r="C28" s="46">
        <v>7500</v>
      </c>
      <c r="D28" s="46">
        <v>7500</v>
      </c>
      <c r="F28" s="14">
        <v>20</v>
      </c>
      <c r="G28" s="14">
        <v>20</v>
      </c>
      <c r="H28" s="14">
        <v>20</v>
      </c>
      <c r="M28">
        <f t="shared" ca="1" si="7"/>
        <v>0</v>
      </c>
    </row>
    <row r="29" spans="1:37" x14ac:dyDescent="0.45">
      <c r="A29" t="s">
        <v>284</v>
      </c>
      <c r="C29" s="46">
        <v>9000</v>
      </c>
      <c r="D29" s="46">
        <v>9000</v>
      </c>
      <c r="F29" s="14"/>
      <c r="I29" s="14">
        <v>20</v>
      </c>
      <c r="M29">
        <f t="shared" ca="1" si="7"/>
        <v>0</v>
      </c>
    </row>
    <row r="30" spans="1:37" x14ac:dyDescent="0.45">
      <c r="A30" t="s">
        <v>285</v>
      </c>
      <c r="C30" s="46">
        <v>7500</v>
      </c>
      <c r="D30" s="46">
        <v>7500</v>
      </c>
      <c r="F30" s="14">
        <v>50</v>
      </c>
      <c r="G30" s="14">
        <v>50</v>
      </c>
      <c r="H30" s="14">
        <v>50</v>
      </c>
      <c r="I30" s="14">
        <v>50</v>
      </c>
      <c r="J30" s="14">
        <v>50</v>
      </c>
      <c r="K30" s="14">
        <v>50</v>
      </c>
      <c r="M30">
        <f t="shared" ca="1" si="7"/>
        <v>50</v>
      </c>
    </row>
    <row r="31" spans="1:37" x14ac:dyDescent="0.45">
      <c r="A31" t="s">
        <v>286</v>
      </c>
      <c r="C31" s="46">
        <v>15000</v>
      </c>
      <c r="D31" s="46">
        <v>15000</v>
      </c>
      <c r="F31" s="14">
        <v>45</v>
      </c>
      <c r="G31" s="14">
        <v>45</v>
      </c>
      <c r="H31" s="14">
        <v>45</v>
      </c>
      <c r="I31" s="14">
        <v>45</v>
      </c>
      <c r="J31" s="14">
        <v>45</v>
      </c>
      <c r="K31" s="14">
        <v>45</v>
      </c>
      <c r="M31">
        <f t="shared" ca="1" si="7"/>
        <v>45</v>
      </c>
    </row>
    <row r="32" spans="1:37" x14ac:dyDescent="0.45">
      <c r="A32" t="s">
        <v>287</v>
      </c>
      <c r="C32" s="46">
        <v>20000</v>
      </c>
      <c r="D32" s="46">
        <v>20000</v>
      </c>
      <c r="F32" s="14">
        <v>50</v>
      </c>
      <c r="G32" s="14">
        <v>50</v>
      </c>
      <c r="H32" s="14">
        <v>50</v>
      </c>
      <c r="I32" s="14">
        <v>50</v>
      </c>
      <c r="J32" s="14">
        <v>50</v>
      </c>
      <c r="K32" s="14">
        <v>50</v>
      </c>
      <c r="M32">
        <f t="shared" ca="1" si="7"/>
        <v>50</v>
      </c>
    </row>
    <row r="33" spans="1:13" x14ac:dyDescent="0.45">
      <c r="A33" t="s">
        <v>288</v>
      </c>
      <c r="C33" s="46">
        <v>20000</v>
      </c>
      <c r="D33" s="46">
        <v>20000</v>
      </c>
      <c r="F33" s="14">
        <v>110</v>
      </c>
      <c r="G33" s="14">
        <v>110</v>
      </c>
      <c r="H33" s="14">
        <v>110</v>
      </c>
      <c r="I33" s="14">
        <v>110</v>
      </c>
      <c r="J33" s="14">
        <v>110</v>
      </c>
      <c r="K33" s="14">
        <v>80</v>
      </c>
      <c r="M33">
        <f t="shared" ca="1" si="7"/>
        <v>80</v>
      </c>
    </row>
    <row r="34" spans="1:13" x14ac:dyDescent="0.45">
      <c r="A34" t="s">
        <v>289</v>
      </c>
      <c r="C34" s="46">
        <v>30000</v>
      </c>
      <c r="D34" s="46">
        <v>30000</v>
      </c>
      <c r="F34" s="14">
        <v>40</v>
      </c>
      <c r="G34" s="14">
        <v>40</v>
      </c>
      <c r="M34">
        <f t="shared" ca="1" si="7"/>
        <v>0</v>
      </c>
    </row>
    <row r="35" spans="1:13" x14ac:dyDescent="0.45">
      <c r="A35" t="s">
        <v>289</v>
      </c>
      <c r="C35" s="46">
        <v>66666.666666666672</v>
      </c>
      <c r="D35" s="46">
        <v>66666.666666666672</v>
      </c>
      <c r="F35" s="14"/>
      <c r="H35" s="14">
        <v>40</v>
      </c>
      <c r="M35">
        <f t="shared" ca="1" si="7"/>
        <v>0</v>
      </c>
    </row>
    <row r="36" spans="1:13" x14ac:dyDescent="0.45">
      <c r="A36" t="s">
        <v>289</v>
      </c>
      <c r="C36" s="46">
        <v>83333.333333333328</v>
      </c>
      <c r="D36" s="46">
        <v>83333.333333333328</v>
      </c>
      <c r="F36" s="14"/>
      <c r="I36" s="14">
        <v>40</v>
      </c>
      <c r="M36">
        <f t="shared" ca="1" si="7"/>
        <v>0</v>
      </c>
    </row>
    <row r="37" spans="1:13" x14ac:dyDescent="0.45">
      <c r="A37" t="s">
        <v>290</v>
      </c>
      <c r="C37" s="46">
        <v>37500</v>
      </c>
      <c r="D37" s="46">
        <v>37500</v>
      </c>
      <c r="F37" s="14">
        <v>150</v>
      </c>
      <c r="G37" s="14">
        <v>150</v>
      </c>
      <c r="H37" s="14">
        <v>150</v>
      </c>
      <c r="I37" s="14">
        <v>150</v>
      </c>
      <c r="J37" s="14">
        <v>150</v>
      </c>
      <c r="K37" s="14">
        <v>150</v>
      </c>
      <c r="M37">
        <f t="shared" ca="1" si="7"/>
        <v>150</v>
      </c>
    </row>
    <row r="38" spans="1:13" x14ac:dyDescent="0.45">
      <c r="A38" t="s">
        <v>291</v>
      </c>
      <c r="C38" s="46">
        <v>50000</v>
      </c>
      <c r="D38" s="46">
        <v>50000</v>
      </c>
      <c r="F38" s="14">
        <v>525</v>
      </c>
      <c r="G38" s="14">
        <v>525</v>
      </c>
      <c r="H38" s="14">
        <v>525</v>
      </c>
      <c r="I38" s="14">
        <v>525</v>
      </c>
      <c r="J38" s="14">
        <v>525</v>
      </c>
      <c r="K38" s="14">
        <v>525</v>
      </c>
      <c r="M38">
        <f t="shared" ca="1" si="7"/>
        <v>525</v>
      </c>
    </row>
    <row r="39" spans="1:13" x14ac:dyDescent="0.45">
      <c r="A39" t="s">
        <v>292</v>
      </c>
      <c r="C39" s="46">
        <v>50000</v>
      </c>
      <c r="D39" s="46">
        <v>50000</v>
      </c>
      <c r="F39" s="14">
        <v>350</v>
      </c>
      <c r="G39" s="14">
        <v>350</v>
      </c>
      <c r="M39">
        <f t="shared" ca="1" si="7"/>
        <v>0</v>
      </c>
    </row>
    <row r="40" spans="1:13" x14ac:dyDescent="0.45">
      <c r="A40" t="s">
        <v>292</v>
      </c>
      <c r="C40" s="46">
        <v>66666.666666666672</v>
      </c>
      <c r="D40" s="46">
        <v>66666.666666666672</v>
      </c>
      <c r="F40" s="14"/>
      <c r="H40" s="14">
        <v>350</v>
      </c>
      <c r="M40">
        <f t="shared" ca="1" si="7"/>
        <v>0</v>
      </c>
    </row>
    <row r="41" spans="1:13" x14ac:dyDescent="0.45">
      <c r="A41" t="s">
        <v>292</v>
      </c>
      <c r="C41" s="46">
        <v>75000</v>
      </c>
      <c r="D41" s="46">
        <v>75000</v>
      </c>
      <c r="F41" s="14"/>
      <c r="I41" s="14">
        <v>350</v>
      </c>
      <c r="J41" s="14">
        <v>350</v>
      </c>
      <c r="K41" s="14">
        <v>350</v>
      </c>
      <c r="M41">
        <f t="shared" ca="1" si="7"/>
        <v>350</v>
      </c>
    </row>
    <row r="42" spans="1:13" x14ac:dyDescent="0.45">
      <c r="A42" t="s">
        <v>293</v>
      </c>
      <c r="C42" s="46">
        <v>50000</v>
      </c>
      <c r="D42" s="46">
        <v>50000</v>
      </c>
      <c r="F42" s="14">
        <v>175</v>
      </c>
      <c r="G42" s="14">
        <v>175</v>
      </c>
      <c r="H42" s="14">
        <v>175</v>
      </c>
      <c r="I42" s="14">
        <v>175</v>
      </c>
      <c r="J42" s="14">
        <v>175</v>
      </c>
      <c r="K42" s="14">
        <v>175</v>
      </c>
      <c r="M42">
        <f t="shared" ca="1" si="7"/>
        <v>175</v>
      </c>
    </row>
    <row r="43" spans="1:13" x14ac:dyDescent="0.45">
      <c r="A43" t="s">
        <v>294</v>
      </c>
      <c r="C43" s="46">
        <v>60000</v>
      </c>
      <c r="D43" s="46">
        <v>60000</v>
      </c>
      <c r="F43" s="14">
        <v>225</v>
      </c>
      <c r="M43">
        <f t="shared" ca="1" si="7"/>
        <v>0</v>
      </c>
    </row>
    <row r="44" spans="1:13" x14ac:dyDescent="0.45">
      <c r="A44" t="s">
        <v>294</v>
      </c>
      <c r="C44" s="46">
        <v>120000</v>
      </c>
      <c r="D44" s="46">
        <v>120000</v>
      </c>
      <c r="F44" s="14"/>
      <c r="H44" s="14">
        <v>225</v>
      </c>
      <c r="I44" s="14">
        <v>225</v>
      </c>
      <c r="M44">
        <f t="shared" ca="1" si="7"/>
        <v>0</v>
      </c>
    </row>
    <row r="45" spans="1:13" x14ac:dyDescent="0.45">
      <c r="A45" t="s">
        <v>402</v>
      </c>
      <c r="C45" s="46">
        <v>80000</v>
      </c>
      <c r="D45" s="46">
        <v>80000</v>
      </c>
      <c r="F45" s="14">
        <v>350</v>
      </c>
      <c r="G45" s="14">
        <v>350</v>
      </c>
      <c r="H45" s="14">
        <v>350</v>
      </c>
      <c r="I45" s="14">
        <v>350</v>
      </c>
      <c r="J45" s="14">
        <v>350</v>
      </c>
      <c r="M45">
        <f t="shared" ca="1" si="7"/>
        <v>0</v>
      </c>
    </row>
    <row r="46" spans="1:13" x14ac:dyDescent="0.45">
      <c r="A46" t="s">
        <v>295</v>
      </c>
      <c r="C46" s="46">
        <v>80000</v>
      </c>
      <c r="D46" s="46">
        <v>80000</v>
      </c>
      <c r="F46" s="14">
        <v>90</v>
      </c>
      <c r="G46" s="14">
        <v>90</v>
      </c>
      <c r="H46" s="14">
        <v>90</v>
      </c>
      <c r="I46" s="14">
        <v>90</v>
      </c>
      <c r="J46" s="14">
        <v>90</v>
      </c>
      <c r="K46" s="14">
        <v>90</v>
      </c>
      <c r="M46">
        <f t="shared" ca="1" si="7"/>
        <v>90</v>
      </c>
    </row>
    <row r="47" spans="1:13" x14ac:dyDescent="0.45">
      <c r="A47" t="s">
        <v>296</v>
      </c>
      <c r="C47" s="46">
        <v>90000</v>
      </c>
      <c r="D47" s="46">
        <v>90000</v>
      </c>
      <c r="F47" s="14">
        <v>200</v>
      </c>
      <c r="G47" s="14">
        <v>200</v>
      </c>
      <c r="M47">
        <f t="shared" ca="1" si="7"/>
        <v>0</v>
      </c>
    </row>
    <row r="48" spans="1:13" x14ac:dyDescent="0.45">
      <c r="A48" t="s">
        <v>296</v>
      </c>
      <c r="C48" s="46">
        <v>110000</v>
      </c>
      <c r="D48" s="46">
        <v>110000</v>
      </c>
      <c r="F48" s="14"/>
      <c r="H48" s="14">
        <v>200</v>
      </c>
      <c r="I48" s="14">
        <v>200</v>
      </c>
      <c r="M48">
        <f t="shared" ca="1" si="7"/>
        <v>0</v>
      </c>
    </row>
    <row r="49" spans="1:13" x14ac:dyDescent="0.45">
      <c r="A49" t="s">
        <v>297</v>
      </c>
      <c r="C49" s="46">
        <v>90000</v>
      </c>
      <c r="D49" s="46">
        <v>90000</v>
      </c>
      <c r="F49" s="14">
        <v>750</v>
      </c>
      <c r="G49" s="14">
        <v>750</v>
      </c>
      <c r="M49">
        <f t="shared" ca="1" si="7"/>
        <v>0</v>
      </c>
    </row>
    <row r="50" spans="1:13" x14ac:dyDescent="0.45">
      <c r="A50" t="s">
        <v>297</v>
      </c>
      <c r="C50" s="46">
        <v>110000</v>
      </c>
      <c r="D50" s="46">
        <v>110000</v>
      </c>
      <c r="F50" s="14"/>
      <c r="H50" s="14">
        <v>750</v>
      </c>
      <c r="I50" s="14">
        <v>750</v>
      </c>
      <c r="M50">
        <f t="shared" ca="1" si="7"/>
        <v>0</v>
      </c>
    </row>
    <row r="51" spans="1:13" x14ac:dyDescent="0.45">
      <c r="A51" t="s">
        <v>298</v>
      </c>
      <c r="C51" s="46">
        <v>90000</v>
      </c>
      <c r="D51" s="46">
        <v>90000</v>
      </c>
      <c r="F51" s="14">
        <v>165</v>
      </c>
      <c r="G51" s="14">
        <v>165</v>
      </c>
      <c r="M51">
        <f t="shared" ca="1" si="7"/>
        <v>0</v>
      </c>
    </row>
    <row r="52" spans="1:13" x14ac:dyDescent="0.45">
      <c r="A52" t="s">
        <v>298</v>
      </c>
      <c r="C52" s="46">
        <v>110000</v>
      </c>
      <c r="D52" s="46">
        <v>110000</v>
      </c>
      <c r="F52" s="14"/>
      <c r="H52" s="14">
        <v>165</v>
      </c>
      <c r="I52" s="14">
        <v>165</v>
      </c>
      <c r="M52">
        <f t="shared" ca="1" si="7"/>
        <v>0</v>
      </c>
    </row>
    <row r="53" spans="1:13" x14ac:dyDescent="0.45">
      <c r="A53" s="45" t="s">
        <v>299</v>
      </c>
      <c r="C53" s="46">
        <v>100000</v>
      </c>
      <c r="D53" s="46">
        <v>100000</v>
      </c>
      <c r="F53" s="14">
        <v>50</v>
      </c>
      <c r="G53" s="14">
        <v>50</v>
      </c>
      <c r="H53" s="14">
        <v>50</v>
      </c>
      <c r="I53" s="14">
        <v>50</v>
      </c>
      <c r="J53" s="14">
        <v>50</v>
      </c>
      <c r="K53" s="14">
        <v>50</v>
      </c>
      <c r="M53">
        <f t="shared" ca="1" si="7"/>
        <v>50</v>
      </c>
    </row>
    <row r="54" spans="1:13" x14ac:dyDescent="0.45">
      <c r="A54" s="45" t="s">
        <v>300</v>
      </c>
      <c r="C54" s="46">
        <v>100000</v>
      </c>
      <c r="D54" s="46">
        <v>100000</v>
      </c>
      <c r="F54" s="14">
        <v>500</v>
      </c>
      <c r="G54" s="14">
        <v>500</v>
      </c>
      <c r="H54" s="14"/>
      <c r="I54" s="14"/>
      <c r="J54" s="14"/>
      <c r="K54" s="14"/>
      <c r="M54">
        <f t="shared" ca="1" si="7"/>
        <v>0</v>
      </c>
    </row>
    <row r="55" spans="1:13" x14ac:dyDescent="0.45">
      <c r="A55" s="45" t="s">
        <v>300</v>
      </c>
      <c r="C55" s="46">
        <v>125000</v>
      </c>
      <c r="D55" s="46">
        <v>125000</v>
      </c>
      <c r="F55" s="14"/>
      <c r="G55" s="14"/>
      <c r="H55" s="14">
        <v>500</v>
      </c>
      <c r="I55" s="14"/>
      <c r="J55" s="14"/>
      <c r="K55" s="14"/>
      <c r="M55">
        <f t="shared" ca="1" si="7"/>
        <v>0</v>
      </c>
    </row>
    <row r="56" spans="1:13" x14ac:dyDescent="0.45">
      <c r="A56" s="45" t="s">
        <v>300</v>
      </c>
      <c r="C56" s="46">
        <v>150000</v>
      </c>
      <c r="D56" s="46">
        <v>150000</v>
      </c>
      <c r="F56" s="14"/>
      <c r="G56" s="14"/>
      <c r="H56" s="14"/>
      <c r="I56" s="14">
        <v>500</v>
      </c>
      <c r="J56" s="14">
        <v>500</v>
      </c>
      <c r="K56" s="14">
        <v>500</v>
      </c>
      <c r="M56">
        <f t="shared" ca="1" si="7"/>
        <v>500</v>
      </c>
    </row>
    <row r="57" spans="1:13" x14ac:dyDescent="0.45">
      <c r="A57" s="45" t="s">
        <v>403</v>
      </c>
      <c r="C57" s="46">
        <v>100000</v>
      </c>
      <c r="D57" s="46">
        <v>100000</v>
      </c>
      <c r="F57" s="14">
        <v>1000</v>
      </c>
      <c r="G57" s="14">
        <v>1000</v>
      </c>
      <c r="H57" s="14">
        <v>1000</v>
      </c>
      <c r="I57" s="14">
        <v>1000</v>
      </c>
      <c r="J57" s="14">
        <v>1000</v>
      </c>
      <c r="K57" s="14">
        <v>1000</v>
      </c>
      <c r="M57">
        <f t="shared" ca="1" si="7"/>
        <v>1000</v>
      </c>
    </row>
    <row r="58" spans="1:13" x14ac:dyDescent="0.45">
      <c r="A58" t="s">
        <v>301</v>
      </c>
      <c r="C58" s="46">
        <v>125000</v>
      </c>
      <c r="D58" s="46">
        <v>125000</v>
      </c>
      <c r="F58" s="14">
        <v>190</v>
      </c>
      <c r="G58" s="14">
        <v>190</v>
      </c>
      <c r="H58" s="14">
        <v>190</v>
      </c>
      <c r="I58" s="14">
        <v>190</v>
      </c>
      <c r="M58">
        <f t="shared" ca="1" si="7"/>
        <v>0</v>
      </c>
    </row>
    <row r="59" spans="1:13" x14ac:dyDescent="0.45">
      <c r="A59" t="s">
        <v>302</v>
      </c>
      <c r="C59" s="46">
        <v>125000</v>
      </c>
      <c r="D59" s="46">
        <v>125000</v>
      </c>
      <c r="F59" s="14"/>
      <c r="G59" s="14"/>
      <c r="H59" s="14">
        <v>210</v>
      </c>
      <c r="I59" s="14">
        <v>210</v>
      </c>
      <c r="J59" s="14">
        <v>210</v>
      </c>
      <c r="K59" s="14">
        <v>210</v>
      </c>
      <c r="M59">
        <f t="shared" ca="1" si="7"/>
        <v>210</v>
      </c>
    </row>
    <row r="60" spans="1:13" x14ac:dyDescent="0.45">
      <c r="A60" t="s">
        <v>303</v>
      </c>
      <c r="C60" s="46">
        <v>150000</v>
      </c>
      <c r="D60" s="46">
        <v>150000</v>
      </c>
      <c r="F60" s="14">
        <v>110</v>
      </c>
      <c r="G60" s="14">
        <v>110</v>
      </c>
      <c r="H60" s="14"/>
      <c r="I60" s="14"/>
      <c r="J60" s="14"/>
      <c r="K60" s="14"/>
      <c r="M60">
        <f t="shared" ca="1" si="7"/>
        <v>0</v>
      </c>
    </row>
    <row r="61" spans="1:13" x14ac:dyDescent="0.45">
      <c r="A61" t="s">
        <v>303</v>
      </c>
      <c r="C61" s="46">
        <v>200000</v>
      </c>
      <c r="D61" s="46">
        <v>200000</v>
      </c>
      <c r="F61" s="14"/>
      <c r="G61" s="14"/>
      <c r="H61" s="14">
        <v>110</v>
      </c>
      <c r="I61" s="14">
        <v>110</v>
      </c>
      <c r="J61" s="14"/>
      <c r="K61" s="14"/>
      <c r="M61">
        <f t="shared" ca="1" si="7"/>
        <v>0</v>
      </c>
    </row>
    <row r="62" spans="1:13" x14ac:dyDescent="0.45">
      <c r="A62" t="s">
        <v>304</v>
      </c>
      <c r="C62" s="46">
        <v>150000</v>
      </c>
      <c r="D62" s="46">
        <v>150000</v>
      </c>
      <c r="F62" s="14">
        <v>1000</v>
      </c>
      <c r="G62" s="14">
        <v>1000</v>
      </c>
      <c r="H62" s="14"/>
      <c r="I62" s="14"/>
      <c r="J62" s="14"/>
      <c r="K62" s="14"/>
      <c r="M62">
        <f t="shared" ca="1" si="7"/>
        <v>0</v>
      </c>
    </row>
    <row r="63" spans="1:13" x14ac:dyDescent="0.45">
      <c r="A63" t="s">
        <v>304</v>
      </c>
      <c r="C63" s="46">
        <v>187500</v>
      </c>
      <c r="D63" s="46">
        <v>187500</v>
      </c>
      <c r="F63" s="14"/>
      <c r="G63" s="14"/>
      <c r="H63" s="14">
        <v>1000</v>
      </c>
      <c r="I63" s="14">
        <v>1000</v>
      </c>
      <c r="J63" s="14"/>
      <c r="K63" s="14"/>
      <c r="M63">
        <f t="shared" ca="1" si="7"/>
        <v>0</v>
      </c>
    </row>
    <row r="64" spans="1:13" x14ac:dyDescent="0.45">
      <c r="A64" t="s">
        <v>304</v>
      </c>
      <c r="C64" s="46">
        <v>225000</v>
      </c>
      <c r="D64" s="46">
        <v>225000</v>
      </c>
      <c r="F64" s="14"/>
      <c r="G64" s="14"/>
      <c r="H64" s="14"/>
      <c r="I64" s="14"/>
      <c r="J64" s="14">
        <v>1000</v>
      </c>
      <c r="K64" s="14">
        <v>1000</v>
      </c>
      <c r="M64">
        <f t="shared" ca="1" si="7"/>
        <v>1000</v>
      </c>
    </row>
    <row r="67" spans="1:37" x14ac:dyDescent="0.45">
      <c r="A67" t="s">
        <v>401</v>
      </c>
    </row>
    <row r="68" spans="1:37" x14ac:dyDescent="0.45">
      <c r="C68">
        <v>1</v>
      </c>
      <c r="D68">
        <v>2</v>
      </c>
      <c r="E68">
        <v>3</v>
      </c>
      <c r="F68">
        <v>4</v>
      </c>
      <c r="G68">
        <v>5</v>
      </c>
      <c r="H68">
        <v>6</v>
      </c>
      <c r="I68">
        <v>7</v>
      </c>
      <c r="J68">
        <v>8</v>
      </c>
      <c r="K68">
        <v>9</v>
      </c>
      <c r="L68">
        <v>10</v>
      </c>
      <c r="M68">
        <v>11</v>
      </c>
      <c r="N68">
        <v>12</v>
      </c>
      <c r="O68">
        <v>13</v>
      </c>
      <c r="P68">
        <v>14</v>
      </c>
      <c r="Q68">
        <v>15</v>
      </c>
      <c r="R68">
        <v>16</v>
      </c>
      <c r="S68">
        <v>17</v>
      </c>
      <c r="T68">
        <v>18</v>
      </c>
      <c r="U68">
        <v>19</v>
      </c>
      <c r="V68">
        <v>20</v>
      </c>
      <c r="W68">
        <v>21</v>
      </c>
      <c r="X68">
        <v>22</v>
      </c>
      <c r="Y68">
        <v>23</v>
      </c>
      <c r="Z68">
        <v>24</v>
      </c>
      <c r="AA68">
        <v>25</v>
      </c>
      <c r="AB68">
        <v>26</v>
      </c>
      <c r="AC68">
        <v>27</v>
      </c>
      <c r="AD68">
        <v>28</v>
      </c>
      <c r="AE68">
        <v>29</v>
      </c>
      <c r="AF68">
        <v>30</v>
      </c>
      <c r="AG68">
        <v>31</v>
      </c>
      <c r="AH68">
        <v>32</v>
      </c>
      <c r="AI68">
        <v>33</v>
      </c>
      <c r="AJ68">
        <v>34</v>
      </c>
      <c r="AK68">
        <v>35</v>
      </c>
    </row>
    <row r="69" spans="1:37" x14ac:dyDescent="0.45">
      <c r="A69" t="s">
        <v>407</v>
      </c>
      <c r="B69">
        <v>0</v>
      </c>
      <c r="C69">
        <f t="shared" ref="C69:AK69" ca="1" si="8">C70*$A$72*$B$72 * EXP(0.00002 * $H$1)</f>
        <v>0</v>
      </c>
      <c r="D69">
        <f t="shared" ca="1" si="8"/>
        <v>0</v>
      </c>
      <c r="E69">
        <f t="shared" ca="1" si="8"/>
        <v>0</v>
      </c>
      <c r="F69">
        <f t="shared" ca="1" si="8"/>
        <v>0</v>
      </c>
      <c r="G69">
        <f t="shared" ca="1" si="8"/>
        <v>0</v>
      </c>
      <c r="H69">
        <f t="shared" ca="1" si="8"/>
        <v>0</v>
      </c>
      <c r="I69">
        <f t="shared" ca="1" si="8"/>
        <v>0</v>
      </c>
      <c r="J69">
        <f t="shared" ca="1" si="8"/>
        <v>0</v>
      </c>
      <c r="K69">
        <f t="shared" ca="1" si="8"/>
        <v>0</v>
      </c>
      <c r="L69">
        <f t="shared" ca="1" si="8"/>
        <v>0</v>
      </c>
      <c r="M69">
        <f t="shared" ca="1" si="8"/>
        <v>0</v>
      </c>
      <c r="N69">
        <f t="shared" ca="1" si="8"/>
        <v>0</v>
      </c>
      <c r="O69">
        <f t="shared" ca="1" si="8"/>
        <v>0</v>
      </c>
      <c r="P69">
        <f t="shared" ca="1" si="8"/>
        <v>0</v>
      </c>
      <c r="Q69">
        <f t="shared" ca="1" si="8"/>
        <v>0</v>
      </c>
      <c r="R69">
        <f t="shared" ca="1" si="8"/>
        <v>0</v>
      </c>
      <c r="S69">
        <f t="shared" ca="1" si="8"/>
        <v>0</v>
      </c>
      <c r="T69">
        <f t="shared" ca="1" si="8"/>
        <v>0</v>
      </c>
      <c r="U69">
        <f t="shared" ca="1" si="8"/>
        <v>0</v>
      </c>
      <c r="V69">
        <f t="shared" ca="1" si="8"/>
        <v>0</v>
      </c>
      <c r="W69">
        <f t="shared" ca="1" si="8"/>
        <v>0</v>
      </c>
      <c r="X69">
        <f t="shared" ca="1" si="8"/>
        <v>0</v>
      </c>
      <c r="Y69">
        <f t="shared" ca="1" si="8"/>
        <v>0</v>
      </c>
      <c r="Z69">
        <f t="shared" ca="1" si="8"/>
        <v>0</v>
      </c>
      <c r="AA69">
        <f t="shared" ca="1" si="8"/>
        <v>0</v>
      </c>
      <c r="AB69">
        <f t="shared" ca="1" si="8"/>
        <v>0</v>
      </c>
      <c r="AC69">
        <f t="shared" ca="1" si="8"/>
        <v>0</v>
      </c>
      <c r="AD69">
        <f t="shared" ca="1" si="8"/>
        <v>0</v>
      </c>
      <c r="AE69">
        <f t="shared" ca="1" si="8"/>
        <v>0</v>
      </c>
      <c r="AF69">
        <f t="shared" ca="1" si="8"/>
        <v>0</v>
      </c>
      <c r="AG69">
        <f t="shared" ca="1" si="8"/>
        <v>0</v>
      </c>
      <c r="AH69">
        <f t="shared" ca="1" si="8"/>
        <v>0</v>
      </c>
      <c r="AI69">
        <f t="shared" ca="1" si="8"/>
        <v>0</v>
      </c>
      <c r="AJ69">
        <f t="shared" ca="1" si="8"/>
        <v>0</v>
      </c>
      <c r="AK69">
        <f t="shared" ca="1" si="8"/>
        <v>0</v>
      </c>
    </row>
    <row r="70" spans="1:37" x14ac:dyDescent="0.45">
      <c r="A70" t="s">
        <v>406</v>
      </c>
      <c r="C70">
        <v>0</v>
      </c>
      <c r="D70">
        <v>0</v>
      </c>
      <c r="E70">
        <v>3.3333333333333335E-3</v>
      </c>
      <c r="F70">
        <v>0.01</v>
      </c>
      <c r="G70">
        <v>1.6666666666666666E-2</v>
      </c>
      <c r="H70">
        <v>0.02</v>
      </c>
      <c r="I70">
        <v>2.3333333333333334E-2</v>
      </c>
      <c r="J70">
        <v>2.6666666666666668E-2</v>
      </c>
      <c r="K70">
        <v>3.0000000000000002E-2</v>
      </c>
      <c r="L70">
        <v>3.3333333333333333E-2</v>
      </c>
      <c r="M70">
        <v>3.6666666666666667E-2</v>
      </c>
      <c r="N70">
        <v>0.04</v>
      </c>
      <c r="O70">
        <v>4.3333333333333335E-2</v>
      </c>
      <c r="P70">
        <v>4.6666666666666669E-2</v>
      </c>
      <c r="Q70">
        <v>0.05</v>
      </c>
      <c r="R70">
        <v>5.3333333333333337E-2</v>
      </c>
      <c r="S70">
        <v>5.6666666666666671E-2</v>
      </c>
      <c r="T70">
        <v>6.0000000000000005E-2</v>
      </c>
      <c r="U70">
        <v>6.3333333333333339E-2</v>
      </c>
      <c r="V70">
        <v>6.6666666666666666E-2</v>
      </c>
      <c r="W70">
        <v>6.9999999999999993E-2</v>
      </c>
      <c r="X70">
        <v>7.333333333333332E-2</v>
      </c>
      <c r="Y70">
        <v>7.6666666666666647E-2</v>
      </c>
      <c r="Z70">
        <v>7.9999999999999974E-2</v>
      </c>
      <c r="AA70">
        <v>8.3333333333333301E-2</v>
      </c>
      <c r="AB70">
        <v>8.6666666666666628E-2</v>
      </c>
      <c r="AC70">
        <v>8.9999999999999955E-2</v>
      </c>
      <c r="AD70">
        <v>9.3333333333333282E-2</v>
      </c>
      <c r="AE70">
        <v>9.6666666666666609E-2</v>
      </c>
      <c r="AF70">
        <v>9.9999999999999936E-2</v>
      </c>
      <c r="AG70">
        <v>0.103333333333333</v>
      </c>
      <c r="AH70">
        <v>0.10666666666666701</v>
      </c>
      <c r="AI70">
        <v>0.11</v>
      </c>
      <c r="AJ70">
        <v>0.11333333333333299</v>
      </c>
      <c r="AK70">
        <v>0.116666666666667</v>
      </c>
    </row>
    <row r="71" spans="1:37" x14ac:dyDescent="0.45">
      <c r="A71" t="s">
        <v>404</v>
      </c>
      <c r="B71" t="s">
        <v>405</v>
      </c>
    </row>
    <row r="72" spans="1:37" x14ac:dyDescent="0.45">
      <c r="A72" s="6">
        <f>IF(OR($E$1=1, $E$1=2, $E$1=6, $E$1=7),  1,  IF(OR($E$1=3, $E$1=4, $E$1=8, $E$1=9),  0.95,   IF(OR($E$1=5, $E$1=10),  0.75,   0)))</f>
        <v>0</v>
      </c>
      <c r="B72" s="6">
        <f>IF(OR($B$1="ICE-SI", $B$1="ICE-CI"),  1,  IF(OR($B$1="HEV"),  0.89,   IF(OR($B$1="PHEV"), 0.86,    IF(OR($B$1="BEV", $B$1="FCEV"),  0.67,   0))))</f>
        <v>0.67</v>
      </c>
    </row>
    <row r="75" spans="1:37" x14ac:dyDescent="0.45">
      <c r="A75" t="s">
        <v>532</v>
      </c>
    </row>
    <row r="76" spans="1:37" x14ac:dyDescent="0.45">
      <c r="A76" t="s">
        <v>17</v>
      </c>
      <c r="C76">
        <v>150000</v>
      </c>
      <c r="D76">
        <v>150000</v>
      </c>
      <c r="F76">
        <v>4000</v>
      </c>
      <c r="G76">
        <v>4000</v>
      </c>
      <c r="H76">
        <v>4000</v>
      </c>
      <c r="I76">
        <v>4000</v>
      </c>
      <c r="J76">
        <v>0</v>
      </c>
      <c r="K76">
        <v>0</v>
      </c>
      <c r="M76">
        <f ca="1">OFFSET(E76,0,MATCH($B$1,$F$25:$K$25,0)) * Dashboard!$K$23</f>
        <v>0</v>
      </c>
    </row>
    <row r="77" spans="1:37" x14ac:dyDescent="0.45">
      <c r="A77" t="s">
        <v>18</v>
      </c>
      <c r="C77">
        <v>200000</v>
      </c>
      <c r="D77">
        <v>200000</v>
      </c>
      <c r="F77">
        <v>6000</v>
      </c>
      <c r="G77">
        <v>6000</v>
      </c>
      <c r="H77">
        <v>6000</v>
      </c>
      <c r="I77">
        <v>6000</v>
      </c>
      <c r="J77">
        <v>0</v>
      </c>
      <c r="K77">
        <v>0</v>
      </c>
      <c r="M77">
        <f ca="1">OFFSET(E77,0,MATCH($B$1,$F$25:$K$25,0)) * Dashboard!$K$23</f>
        <v>0</v>
      </c>
    </row>
    <row r="78" spans="1:37" x14ac:dyDescent="0.45">
      <c r="A78" t="s">
        <v>31</v>
      </c>
      <c r="C78">
        <v>150000</v>
      </c>
      <c r="D78">
        <v>150000</v>
      </c>
      <c r="F78">
        <v>0</v>
      </c>
      <c r="G78">
        <v>0</v>
      </c>
      <c r="H78">
        <v>2126</v>
      </c>
      <c r="I78">
        <v>4000</v>
      </c>
      <c r="J78">
        <v>0</v>
      </c>
      <c r="K78">
        <v>20000</v>
      </c>
      <c r="M78">
        <f ca="1">OFFSET(E78,0,MATCH($B$1,$F$25:$K$25,0)) * Dashboard!$K$23</f>
        <v>0</v>
      </c>
    </row>
    <row r="79" spans="1:37" x14ac:dyDescent="0.45">
      <c r="A79" t="s">
        <v>32</v>
      </c>
      <c r="C79">
        <v>180000</v>
      </c>
      <c r="D79">
        <v>180000</v>
      </c>
      <c r="F79">
        <v>0</v>
      </c>
      <c r="G79">
        <v>0</v>
      </c>
      <c r="H79">
        <v>0</v>
      </c>
      <c r="I79">
        <v>0</v>
      </c>
      <c r="J79">
        <v>12000</v>
      </c>
      <c r="K79">
        <v>0</v>
      </c>
      <c r="M79">
        <f ca="1">OFFSET(E79,0,MATCH($B$1,$F$25:$K$25,0)) * Dashboard!$K$23</f>
        <v>0</v>
      </c>
    </row>
    <row r="80" spans="1:37" x14ac:dyDescent="0.45">
      <c r="A80" t="s">
        <v>82</v>
      </c>
      <c r="C80">
        <v>200000</v>
      </c>
      <c r="D80">
        <v>200000</v>
      </c>
      <c r="F80">
        <v>1000</v>
      </c>
      <c r="G80">
        <v>1000</v>
      </c>
      <c r="H80">
        <v>1000</v>
      </c>
      <c r="I80">
        <v>1000</v>
      </c>
      <c r="J80">
        <v>1000</v>
      </c>
      <c r="K80">
        <v>1000</v>
      </c>
      <c r="M80">
        <f ca="1">OFFSET(E80,0,MATCH($B$1,$F$25:$K$25,0)) * Dashboard!$K$23</f>
        <v>0</v>
      </c>
    </row>
    <row r="81" spans="1:37" x14ac:dyDescent="0.45">
      <c r="A81" t="s">
        <v>531</v>
      </c>
      <c r="C81">
        <v>1</v>
      </c>
      <c r="D81">
        <v>1</v>
      </c>
      <c r="F81">
        <v>0</v>
      </c>
      <c r="G81">
        <v>0</v>
      </c>
      <c r="H81">
        <v>0</v>
      </c>
      <c r="I81">
        <v>0</v>
      </c>
      <c r="J81">
        <v>0</v>
      </c>
      <c r="K81">
        <v>0</v>
      </c>
      <c r="M81">
        <f ca="1">OFFSET(E81,0,MATCH($B$1,$F$25:$K$25,0)) * Dashboard!$K$23</f>
        <v>0</v>
      </c>
    </row>
    <row r="82" spans="1:37" x14ac:dyDescent="0.45">
      <c r="A82" t="s">
        <v>19</v>
      </c>
      <c r="C82">
        <v>1</v>
      </c>
      <c r="D82">
        <v>1</v>
      </c>
      <c r="F82">
        <v>0</v>
      </c>
      <c r="G82">
        <v>0</v>
      </c>
      <c r="H82">
        <v>0</v>
      </c>
      <c r="I82">
        <v>0</v>
      </c>
      <c r="J82">
        <v>0</v>
      </c>
      <c r="K82">
        <v>0</v>
      </c>
      <c r="M82">
        <f ca="1">OFFSET(E82,0,MATCH($B$1,$F$25:$K$25,0)) * Dashboard!$K$23</f>
        <v>0</v>
      </c>
    </row>
    <row r="84" spans="1:37" x14ac:dyDescent="0.45">
      <c r="C84">
        <v>1</v>
      </c>
      <c r="D84">
        <v>2</v>
      </c>
      <c r="E84">
        <v>3</v>
      </c>
      <c r="F84">
        <v>4</v>
      </c>
      <c r="G84">
        <v>5</v>
      </c>
      <c r="H84">
        <v>6</v>
      </c>
      <c r="I84">
        <v>7</v>
      </c>
      <c r="J84">
        <v>8</v>
      </c>
      <c r="K84">
        <v>9</v>
      </c>
      <c r="L84">
        <v>10</v>
      </c>
      <c r="M84">
        <v>11</v>
      </c>
      <c r="N84">
        <v>12</v>
      </c>
      <c r="O84">
        <v>13</v>
      </c>
      <c r="P84">
        <v>14</v>
      </c>
      <c r="Q84">
        <v>15</v>
      </c>
      <c r="R84">
        <v>16</v>
      </c>
      <c r="S84">
        <v>17</v>
      </c>
      <c r="T84">
        <v>18</v>
      </c>
      <c r="U84">
        <v>19</v>
      </c>
      <c r="V84">
        <v>20</v>
      </c>
      <c r="W84">
        <v>21</v>
      </c>
      <c r="X84">
        <v>22</v>
      </c>
      <c r="Y84">
        <v>23</v>
      </c>
      <c r="Z84">
        <v>24</v>
      </c>
      <c r="AA84">
        <v>25</v>
      </c>
      <c r="AB84">
        <v>26</v>
      </c>
      <c r="AC84">
        <v>27</v>
      </c>
      <c r="AD84">
        <v>28</v>
      </c>
      <c r="AE84">
        <v>29</v>
      </c>
      <c r="AF84">
        <v>30</v>
      </c>
      <c r="AG84">
        <v>31</v>
      </c>
      <c r="AH84">
        <v>32</v>
      </c>
      <c r="AI84">
        <v>33</v>
      </c>
      <c r="AJ84">
        <v>34</v>
      </c>
      <c r="AK84">
        <v>35</v>
      </c>
    </row>
    <row r="85" spans="1:37" x14ac:dyDescent="0.45">
      <c r="A85" t="s">
        <v>547</v>
      </c>
      <c r="C85">
        <f ca="1">C86-B86</f>
        <v>1273.0994866319834</v>
      </c>
      <c r="D85">
        <f ca="1">D86-C86</f>
        <v>2770.1875371824581</v>
      </c>
      <c r="E85">
        <f ca="1">E86-D86</f>
        <v>3076.8955904410277</v>
      </c>
      <c r="F85">
        <f ca="1">F86-E86</f>
        <v>2944.4450508025784</v>
      </c>
      <c r="G85">
        <f t="shared" ref="G85:AK85" ca="1" si="9">G86-F86</f>
        <v>2641.2693209447589</v>
      </c>
      <c r="H85">
        <f t="shared" ca="1" si="9"/>
        <v>2369.310177434767</v>
      </c>
      <c r="I85">
        <f t="shared" ca="1" si="9"/>
        <v>2125.3533944384053</v>
      </c>
      <c r="J85">
        <f t="shared" ca="1" si="9"/>
        <v>1906.5156999163009</v>
      </c>
      <c r="K85">
        <f t="shared" ca="1" si="9"/>
        <v>1710.2106988601663</v>
      </c>
      <c r="L85">
        <f t="shared" ca="1" si="9"/>
        <v>1534.1183052540291</v>
      </c>
      <c r="M85">
        <f t="shared" ca="1" si="9"/>
        <v>1376.1573214832933</v>
      </c>
      <c r="N85">
        <f t="shared" ca="1" si="9"/>
        <v>1244.617387120481</v>
      </c>
      <c r="O85">
        <f t="shared" ca="1" si="9"/>
        <v>1125.6506913416997</v>
      </c>
      <c r="P85">
        <f t="shared" ca="1" si="9"/>
        <v>1018.0554217144236</v>
      </c>
      <c r="Q85">
        <f t="shared" ca="1" si="9"/>
        <v>920.74464099229226</v>
      </c>
      <c r="R85">
        <f t="shared" ca="1" si="9"/>
        <v>832.73530677568851</v>
      </c>
      <c r="S85">
        <f t="shared" ca="1" si="9"/>
        <v>753.13834072764803</v>
      </c>
      <c r="T85">
        <f t="shared" ca="1" si="9"/>
        <v>677.55021233794832</v>
      </c>
      <c r="U85">
        <f t="shared" ca="1" si="9"/>
        <v>609.54842611738786</v>
      </c>
      <c r="V85">
        <f t="shared" ca="1" si="9"/>
        <v>548.37158488980276</v>
      </c>
      <c r="W85">
        <f t="shared" ca="1" si="9"/>
        <v>493.33470849885271</v>
      </c>
      <c r="X85">
        <f t="shared" ca="1" si="9"/>
        <v>443.82156427480732</v>
      </c>
      <c r="Y85">
        <f t="shared" ca="1" si="9"/>
        <v>399.27776724794239</v>
      </c>
      <c r="Z85">
        <f t="shared" ca="1" si="9"/>
        <v>359.20457285348675</v>
      </c>
      <c r="AA85">
        <f t="shared" ca="1" si="9"/>
        <v>323.15329262683372</v>
      </c>
      <c r="AB85">
        <f t="shared" ca="1" si="9"/>
        <v>290.72027036291547</v>
      </c>
      <c r="AC85">
        <f t="shared" ca="1" si="9"/>
        <v>261.54236248950474</v>
      </c>
      <c r="AD85">
        <f t="shared" ca="1" si="9"/>
        <v>235.29287204913999</v>
      </c>
      <c r="AE85">
        <f t="shared" ca="1" si="9"/>
        <v>211.67789076370536</v>
      </c>
      <c r="AF85">
        <f t="shared" ca="1" si="9"/>
        <v>190.43300822479068</v>
      </c>
      <c r="AG85">
        <f t="shared" ca="1" si="9"/>
        <v>169.18812568588328</v>
      </c>
      <c r="AH85">
        <f t="shared" ca="1" si="9"/>
        <v>147.9432431469686</v>
      </c>
      <c r="AI85">
        <f t="shared" ca="1" si="9"/>
        <v>126.69836060806847</v>
      </c>
      <c r="AJ85">
        <f t="shared" ca="1" si="9"/>
        <v>105.45347806915379</v>
      </c>
      <c r="AK85">
        <f t="shared" ca="1" si="9"/>
        <v>84.20859553025366</v>
      </c>
    </row>
    <row r="86" spans="1:37" x14ac:dyDescent="0.45">
      <c r="A86" t="s">
        <v>546</v>
      </c>
      <c r="B86">
        <v>0</v>
      </c>
      <c r="C86">
        <f ca="1">IF(C5&lt;=50000,C5*$B$88,  IF(C5&lt;=100000, 50000*$B$88 + (C5-50000)*$C$88,    50000*$B$88 + 50000*$C$88 + (C5-100000)*$D$88))</f>
        <v>1273.0994866319834</v>
      </c>
      <c r="D86">
        <f t="shared" ref="D86:AK86" ca="1" si="10">IF(D5&lt;=50000,D5*$B$88,  IF(D5&lt;=100000, 50000*$B$88 + (D5-50000)*$C$88,    50000*$B$88 + 50000*$C$88 + (D5-100000)*$D$88))</f>
        <v>4043.2870238144415</v>
      </c>
      <c r="E86">
        <f t="shared" ca="1" si="10"/>
        <v>7120.1826142554692</v>
      </c>
      <c r="F86">
        <f t="shared" ca="1" si="10"/>
        <v>10064.627665058048</v>
      </c>
      <c r="G86">
        <f t="shared" ca="1" si="10"/>
        <v>12705.896986002806</v>
      </c>
      <c r="H86">
        <f t="shared" ca="1" si="10"/>
        <v>15075.207163437573</v>
      </c>
      <c r="I86">
        <f t="shared" ca="1" si="10"/>
        <v>17200.560557875979</v>
      </c>
      <c r="J86">
        <f t="shared" ca="1" si="10"/>
        <v>19107.07625779228</v>
      </c>
      <c r="K86">
        <f t="shared" ca="1" si="10"/>
        <v>20817.286956652446</v>
      </c>
      <c r="L86">
        <f t="shared" ca="1" si="10"/>
        <v>22351.405261906475</v>
      </c>
      <c r="M86">
        <f t="shared" ca="1" si="10"/>
        <v>23727.562583389768</v>
      </c>
      <c r="N86">
        <f t="shared" ca="1" si="10"/>
        <v>24972.179970510249</v>
      </c>
      <c r="O86">
        <f t="shared" ca="1" si="10"/>
        <v>26097.830661851949</v>
      </c>
      <c r="P86">
        <f t="shared" ca="1" si="10"/>
        <v>27115.886083566373</v>
      </c>
      <c r="Q86">
        <f t="shared" ca="1" si="10"/>
        <v>28036.630724558665</v>
      </c>
      <c r="R86">
        <f t="shared" ca="1" si="10"/>
        <v>28869.366031334353</v>
      </c>
      <c r="S86">
        <f t="shared" ca="1" si="10"/>
        <v>29622.504372062001</v>
      </c>
      <c r="T86">
        <f t="shared" ca="1" si="10"/>
        <v>30300.05458439995</v>
      </c>
      <c r="U86">
        <f t="shared" ca="1" si="10"/>
        <v>30909.603010517338</v>
      </c>
      <c r="V86">
        <f t="shared" ca="1" si="10"/>
        <v>31457.97459540714</v>
      </c>
      <c r="W86">
        <f t="shared" ca="1" si="10"/>
        <v>31951.309303905993</v>
      </c>
      <c r="X86">
        <f t="shared" ca="1" si="10"/>
        <v>32395.1308681808</v>
      </c>
      <c r="Y86">
        <f t="shared" ca="1" si="10"/>
        <v>32794.408635428743</v>
      </c>
      <c r="Z86">
        <f t="shared" ca="1" si="10"/>
        <v>33153.61320828223</v>
      </c>
      <c r="AA86">
        <f t="shared" ca="1" si="10"/>
        <v>33476.766500909063</v>
      </c>
      <c r="AB86">
        <f t="shared" ca="1" si="10"/>
        <v>33767.486771271979</v>
      </c>
      <c r="AC86">
        <f t="shared" ca="1" si="10"/>
        <v>34029.029133761484</v>
      </c>
      <c r="AD86">
        <f t="shared" ca="1" si="10"/>
        <v>34264.322005810624</v>
      </c>
      <c r="AE86">
        <f t="shared" ca="1" si="10"/>
        <v>34475.999896574329</v>
      </c>
      <c r="AF86">
        <f t="shared" ca="1" si="10"/>
        <v>34666.43290479912</v>
      </c>
      <c r="AG86">
        <f t="shared" ca="1" si="10"/>
        <v>34835.621030485003</v>
      </c>
      <c r="AH86">
        <f t="shared" ca="1" si="10"/>
        <v>34983.564273631971</v>
      </c>
      <c r="AI86">
        <f t="shared" ca="1" si="10"/>
        <v>35110.26263424004</v>
      </c>
      <c r="AJ86">
        <f t="shared" ca="1" si="10"/>
        <v>35215.716112309194</v>
      </c>
      <c r="AK86">
        <f t="shared" ca="1" si="10"/>
        <v>35299.924707839447</v>
      </c>
    </row>
    <row r="87" spans="1:37" x14ac:dyDescent="0.45">
      <c r="A87" t="s">
        <v>541</v>
      </c>
      <c r="B87" t="s">
        <v>543</v>
      </c>
      <c r="C87" t="s">
        <v>545</v>
      </c>
      <c r="D87" t="s">
        <v>544</v>
      </c>
    </row>
    <row r="88" spans="1:37" x14ac:dyDescent="0.45">
      <c r="B88">
        <f>IF(OR($B$1="ICE-SI", $B$1="ICE-CI"),  B91,  IF(OR($B$1="HEV"),  B92,   IF(OR($B$1="PHEV"), B90,    IF(OR($B$1="BEV", $B$1="FCEV"),  B89,   0))))</f>
        <v>1.2E-2</v>
      </c>
      <c r="C88">
        <f t="shared" ref="C88:D88" si="11">IF(OR($B$1="ICE-SI", $B$1="ICE-CI"),  C91,  IF(OR($B$1="HEV"),  C92,   IF(OR($B$1="PHEV"), C90,    IF(OR($B$1="BEV", $B$1="FCEV"),  C89,   0))))</f>
        <v>2.8000000000000001E-2</v>
      </c>
      <c r="D88">
        <f t="shared" si="11"/>
        <v>4.2999999999999997E-2</v>
      </c>
    </row>
    <row r="89" spans="1:37" x14ac:dyDescent="0.45">
      <c r="A89" t="s">
        <v>46</v>
      </c>
      <c r="B89" s="133">
        <v>1.2E-2</v>
      </c>
      <c r="C89" s="133">
        <v>2.8000000000000001E-2</v>
      </c>
      <c r="D89" s="133">
        <v>4.2999999999999997E-2</v>
      </c>
    </row>
    <row r="90" spans="1:37" x14ac:dyDescent="0.45">
      <c r="A90" t="s">
        <v>44</v>
      </c>
      <c r="B90" s="133">
        <v>2.1000000000000001E-2</v>
      </c>
      <c r="C90" s="133">
        <v>3.1E-2</v>
      </c>
      <c r="D90" s="133">
        <v>3.3000000000000002E-2</v>
      </c>
    </row>
    <row r="91" spans="1:37" x14ac:dyDescent="0.45">
      <c r="A91" t="s">
        <v>542</v>
      </c>
      <c r="B91" s="133">
        <v>2.8000000000000001E-2</v>
      </c>
      <c r="C91" s="133">
        <v>0.06</v>
      </c>
      <c r="D91" s="133">
        <v>7.9000000000000001E-2</v>
      </c>
    </row>
    <row r="92" spans="1:37" x14ac:dyDescent="0.45">
      <c r="A92" t="s">
        <v>427</v>
      </c>
      <c r="B92" s="133">
        <f>AVERAGE(B90:B91)</f>
        <v>2.4500000000000001E-2</v>
      </c>
      <c r="C92" s="133">
        <f t="shared" ref="C92:D92" si="12">AVERAGE(C90:C91)</f>
        <v>4.5499999999999999E-2</v>
      </c>
      <c r="D92" s="133">
        <f t="shared" si="12"/>
        <v>5.6000000000000001E-2</v>
      </c>
    </row>
    <row r="94" spans="1:37" x14ac:dyDescent="0.45">
      <c r="A94" t="s">
        <v>354</v>
      </c>
    </row>
    <row r="95" spans="1:37" x14ac:dyDescent="0.45">
      <c r="C95">
        <v>1</v>
      </c>
      <c r="D95">
        <v>2</v>
      </c>
      <c r="E95">
        <v>3</v>
      </c>
      <c r="F95">
        <v>4</v>
      </c>
      <c r="G95">
        <v>5</v>
      </c>
      <c r="H95">
        <v>6</v>
      </c>
      <c r="I95">
        <v>7</v>
      </c>
      <c r="J95">
        <v>8</v>
      </c>
      <c r="K95">
        <v>9</v>
      </c>
      <c r="L95">
        <v>10</v>
      </c>
      <c r="M95">
        <v>11</v>
      </c>
      <c r="N95">
        <v>12</v>
      </c>
      <c r="O95">
        <v>13</v>
      </c>
      <c r="P95">
        <v>14</v>
      </c>
      <c r="Q95">
        <v>15</v>
      </c>
      <c r="R95">
        <v>16</v>
      </c>
      <c r="S95">
        <v>17</v>
      </c>
      <c r="T95">
        <v>18</v>
      </c>
      <c r="U95">
        <v>19</v>
      </c>
      <c r="V95">
        <v>20</v>
      </c>
      <c r="W95">
        <v>21</v>
      </c>
      <c r="X95">
        <v>22</v>
      </c>
      <c r="Y95">
        <v>23</v>
      </c>
      <c r="Z95">
        <v>24</v>
      </c>
      <c r="AA95">
        <v>25</v>
      </c>
      <c r="AB95">
        <v>26</v>
      </c>
      <c r="AC95">
        <v>27</v>
      </c>
      <c r="AD95">
        <v>28</v>
      </c>
      <c r="AE95">
        <v>29</v>
      </c>
      <c r="AF95">
        <v>30</v>
      </c>
      <c r="AG95">
        <v>31</v>
      </c>
      <c r="AH95">
        <v>32</v>
      </c>
      <c r="AI95">
        <v>33</v>
      </c>
      <c r="AJ95">
        <v>34</v>
      </c>
      <c r="AK95">
        <v>35</v>
      </c>
    </row>
    <row r="96" spans="1:37" x14ac:dyDescent="0.45">
      <c r="A96" t="s">
        <v>115</v>
      </c>
      <c r="B96" t="s">
        <v>521</v>
      </c>
      <c r="C96">
        <v>0.10189931707317075</v>
      </c>
      <c r="D96">
        <v>0.12185460000000001</v>
      </c>
      <c r="E96">
        <v>0.1490277512195122</v>
      </c>
      <c r="F96">
        <v>0.17407800000000001</v>
      </c>
      <c r="G96">
        <v>0.1982790878048781</v>
      </c>
      <c r="H96">
        <v>0.24370920000000001</v>
      </c>
      <c r="I96">
        <v>0.2560220341463415</v>
      </c>
      <c r="J96">
        <v>0.2831951853658537</v>
      </c>
      <c r="K96">
        <v>0.29296053658536586</v>
      </c>
      <c r="L96">
        <v>0.32098284878048788</v>
      </c>
      <c r="M96">
        <v>0.34942974146341466</v>
      </c>
      <c r="N96">
        <v>0.38254701951219522</v>
      </c>
      <c r="O96">
        <v>0.39613359512195129</v>
      </c>
      <c r="P96">
        <v>0.37575373170731713</v>
      </c>
      <c r="Q96">
        <v>0.44580951219512205</v>
      </c>
      <c r="R96">
        <v>0.46958601951219525</v>
      </c>
      <c r="S96" s="56">
        <f>_xlfn.FORECAST.LINEAR(S$95,$N96:$R96,$N$95:$R$95)</f>
        <v>0.48109215073170736</v>
      </c>
      <c r="T96" s="56">
        <f t="shared" ref="T96:AI102" si="13">_xlfn.FORECAST.LINEAR(T$95,$N96:$R96,$N$95:$R$95)</f>
        <v>0.50346754243902447</v>
      </c>
      <c r="U96" s="56">
        <f t="shared" si="13"/>
        <v>0.52584293414634153</v>
      </c>
      <c r="V96" s="56">
        <f t="shared" si="13"/>
        <v>0.54821832585365859</v>
      </c>
      <c r="W96" s="56">
        <f t="shared" si="13"/>
        <v>0.57059371756097566</v>
      </c>
      <c r="X96" s="56">
        <f t="shared" si="13"/>
        <v>0.59296910926829272</v>
      </c>
      <c r="Y96" s="56">
        <f t="shared" si="13"/>
        <v>0.61534450097560978</v>
      </c>
      <c r="Z96" s="56">
        <f t="shared" si="13"/>
        <v>0.63771989268292684</v>
      </c>
      <c r="AA96" s="56">
        <f t="shared" si="13"/>
        <v>0.66009528439024412</v>
      </c>
      <c r="AB96" s="56">
        <f t="shared" si="13"/>
        <v>0.68247067609756118</v>
      </c>
      <c r="AC96" s="56">
        <f t="shared" si="13"/>
        <v>0.70484606780487824</v>
      </c>
      <c r="AD96" s="56">
        <f t="shared" si="13"/>
        <v>0.7272214595121953</v>
      </c>
      <c r="AE96" s="56">
        <f t="shared" si="13"/>
        <v>0.74959685121951236</v>
      </c>
      <c r="AF96" s="56">
        <f t="shared" si="13"/>
        <v>0.77197224292682942</v>
      </c>
      <c r="AG96" s="56">
        <f t="shared" si="13"/>
        <v>0.79434763463414648</v>
      </c>
      <c r="AH96" s="56">
        <f t="shared" si="13"/>
        <v>0.81672302634146354</v>
      </c>
      <c r="AI96" s="56">
        <f t="shared" si="13"/>
        <v>0.8390984180487806</v>
      </c>
      <c r="AJ96" s="56">
        <f t="shared" ref="AJ96:AK102" si="14">_xlfn.FORECAST.LINEAR(AJ$95,$N96:$R96,$N$95:$R$95)</f>
        <v>0.86147380975609766</v>
      </c>
      <c r="AK96" s="56">
        <f t="shared" si="14"/>
        <v>0.88384920146341495</v>
      </c>
    </row>
    <row r="97" spans="1:37" x14ac:dyDescent="0.45">
      <c r="A97" t="s">
        <v>116</v>
      </c>
      <c r="B97" t="s">
        <v>521</v>
      </c>
      <c r="C97">
        <v>0.10189931707317075</v>
      </c>
      <c r="D97">
        <v>0.12185460000000001</v>
      </c>
      <c r="E97">
        <v>0.1490277512195122</v>
      </c>
      <c r="F97">
        <v>0.17407800000000001</v>
      </c>
      <c r="G97">
        <v>0.1982790878048781</v>
      </c>
      <c r="H97">
        <v>0.24370920000000001</v>
      </c>
      <c r="I97">
        <v>0.2560220341463415</v>
      </c>
      <c r="J97">
        <v>0.2831951853658537</v>
      </c>
      <c r="K97">
        <v>0.29296053658536586</v>
      </c>
      <c r="L97">
        <v>0.32098284878048788</v>
      </c>
      <c r="M97">
        <v>0.34942974146341466</v>
      </c>
      <c r="N97">
        <v>0.38254701951219522</v>
      </c>
      <c r="O97">
        <v>0.39613359512195129</v>
      </c>
      <c r="P97">
        <v>0.37575373170731713</v>
      </c>
      <c r="Q97">
        <v>0.44580951219512205</v>
      </c>
      <c r="R97">
        <v>0.46958601951219525</v>
      </c>
      <c r="S97" s="56">
        <f t="shared" ref="S97:S102" si="15">_xlfn.FORECAST.LINEAR(S$95,$N97:$R97,$N$95:$R$95)</f>
        <v>0.48109215073170736</v>
      </c>
      <c r="T97" s="56">
        <f t="shared" si="13"/>
        <v>0.50346754243902447</v>
      </c>
      <c r="U97" s="56">
        <f t="shared" si="13"/>
        <v>0.52584293414634153</v>
      </c>
      <c r="V97" s="56">
        <f t="shared" si="13"/>
        <v>0.54821832585365859</v>
      </c>
      <c r="W97" s="56">
        <f t="shared" si="13"/>
        <v>0.57059371756097566</v>
      </c>
      <c r="X97" s="56">
        <f t="shared" si="13"/>
        <v>0.59296910926829272</v>
      </c>
      <c r="Y97" s="56">
        <f t="shared" si="13"/>
        <v>0.61534450097560978</v>
      </c>
      <c r="Z97" s="56">
        <f t="shared" si="13"/>
        <v>0.63771989268292684</v>
      </c>
      <c r="AA97" s="56">
        <f t="shared" si="13"/>
        <v>0.66009528439024412</v>
      </c>
      <c r="AB97" s="56">
        <f t="shared" si="13"/>
        <v>0.68247067609756118</v>
      </c>
      <c r="AC97" s="56">
        <f t="shared" si="13"/>
        <v>0.70484606780487824</v>
      </c>
      <c r="AD97" s="56">
        <f t="shared" si="13"/>
        <v>0.7272214595121953</v>
      </c>
      <c r="AE97" s="56">
        <f t="shared" si="13"/>
        <v>0.74959685121951236</v>
      </c>
      <c r="AF97" s="56">
        <f t="shared" si="13"/>
        <v>0.77197224292682942</v>
      </c>
      <c r="AG97" s="56">
        <f t="shared" si="13"/>
        <v>0.79434763463414648</v>
      </c>
      <c r="AH97" s="56">
        <f t="shared" si="13"/>
        <v>0.81672302634146354</v>
      </c>
      <c r="AI97" s="56">
        <f t="shared" si="13"/>
        <v>0.8390984180487806</v>
      </c>
      <c r="AJ97" s="56">
        <f t="shared" si="14"/>
        <v>0.86147380975609766</v>
      </c>
      <c r="AK97" s="56">
        <f t="shared" si="14"/>
        <v>0.88384920146341495</v>
      </c>
    </row>
    <row r="98" spans="1:37" x14ac:dyDescent="0.45">
      <c r="A98" t="s">
        <v>117</v>
      </c>
      <c r="B98" t="s">
        <v>376</v>
      </c>
      <c r="C98">
        <v>0.25948421052631582</v>
      </c>
      <c r="D98">
        <v>0.33144210526315787</v>
      </c>
      <c r="E98">
        <v>0.3763894736842105</v>
      </c>
      <c r="F98">
        <v>0.38368421052631579</v>
      </c>
      <c r="G98">
        <v>0.45613684210526317</v>
      </c>
      <c r="H98">
        <v>0.59407368421052631</v>
      </c>
      <c r="I98">
        <v>0.46243157894736842</v>
      </c>
      <c r="J98">
        <v>0.79810526315789487</v>
      </c>
      <c r="K98">
        <v>0.67216842105263153</v>
      </c>
      <c r="L98">
        <v>0.73354736842105261</v>
      </c>
      <c r="M98">
        <v>0.68591578947368426</v>
      </c>
      <c r="N98">
        <v>0.63061052631578951</v>
      </c>
      <c r="O98">
        <v>0.43164210526315794</v>
      </c>
      <c r="P98">
        <v>0.77013684210526301</v>
      </c>
      <c r="Q98">
        <v>0.80121052631578948</v>
      </c>
      <c r="R98">
        <v>1.2335368421052633</v>
      </c>
      <c r="S98" s="56">
        <f t="shared" si="15"/>
        <v>1.2460536842105263</v>
      </c>
      <c r="T98" s="56">
        <f t="shared" si="13"/>
        <v>1.4035957894736839</v>
      </c>
      <c r="U98" s="56">
        <f t="shared" si="13"/>
        <v>1.5611378947368419</v>
      </c>
      <c r="V98" s="56">
        <f t="shared" si="13"/>
        <v>1.71868</v>
      </c>
      <c r="W98" s="56">
        <f t="shared" si="13"/>
        <v>1.8762221052631576</v>
      </c>
      <c r="X98" s="56">
        <f t="shared" si="13"/>
        <v>2.0337642105263156</v>
      </c>
      <c r="Y98" s="56">
        <f t="shared" si="13"/>
        <v>2.1913063157894737</v>
      </c>
      <c r="Z98" s="56">
        <f t="shared" si="13"/>
        <v>2.3488484210526313</v>
      </c>
      <c r="AA98" s="56">
        <f t="shared" si="13"/>
        <v>2.5063905263157893</v>
      </c>
      <c r="AB98" s="56">
        <f t="shared" si="13"/>
        <v>2.6639326315789473</v>
      </c>
      <c r="AC98" s="56">
        <f t="shared" si="13"/>
        <v>2.8214747368421049</v>
      </c>
      <c r="AD98" s="56">
        <f t="shared" si="13"/>
        <v>2.9790168421052634</v>
      </c>
      <c r="AE98" s="56">
        <f t="shared" si="13"/>
        <v>3.136558947368421</v>
      </c>
      <c r="AF98" s="56">
        <f t="shared" si="13"/>
        <v>3.2941010526315786</v>
      </c>
      <c r="AG98" s="56">
        <f t="shared" si="13"/>
        <v>3.4516431578947371</v>
      </c>
      <c r="AH98" s="56">
        <f t="shared" si="13"/>
        <v>3.6091852631578947</v>
      </c>
      <c r="AI98" s="56">
        <f t="shared" si="13"/>
        <v>3.7667273684210523</v>
      </c>
      <c r="AJ98" s="56">
        <f t="shared" si="14"/>
        <v>3.9242694736842108</v>
      </c>
      <c r="AK98" s="56">
        <f t="shared" si="14"/>
        <v>4.0818115789473683</v>
      </c>
    </row>
    <row r="99" spans="1:37" x14ac:dyDescent="0.45">
      <c r="A99" t="s">
        <v>124</v>
      </c>
      <c r="B99" t="s">
        <v>372</v>
      </c>
      <c r="C99">
        <v>0.26788887215780754</v>
      </c>
      <c r="D99">
        <v>0.33713138081614213</v>
      </c>
      <c r="E99">
        <v>0.38914877277518439</v>
      </c>
      <c r="F99">
        <v>0.52222315916277673</v>
      </c>
      <c r="G99">
        <v>0.66533812678813431</v>
      </c>
      <c r="H99">
        <v>0.80326276163228427</v>
      </c>
      <c r="I99">
        <v>0.97411782864026497</v>
      </c>
      <c r="J99">
        <v>0.96926855895196506</v>
      </c>
      <c r="K99">
        <v>0.95792267730763436</v>
      </c>
      <c r="L99">
        <v>0.96041928926366504</v>
      </c>
      <c r="M99">
        <v>1.0139342719469959</v>
      </c>
      <c r="N99">
        <v>1.094268558951965</v>
      </c>
      <c r="O99">
        <v>1.1339284746273153</v>
      </c>
      <c r="P99">
        <v>1.1320898208101189</v>
      </c>
      <c r="Q99">
        <v>1.3302955880138534</v>
      </c>
      <c r="R99">
        <v>1.3552965667821111</v>
      </c>
      <c r="S99" s="56">
        <f t="shared" si="15"/>
        <v>1.4247027405511219</v>
      </c>
      <c r="T99" s="56">
        <f t="shared" si="13"/>
        <v>1.4965450534558049</v>
      </c>
      <c r="U99" s="56">
        <f t="shared" si="13"/>
        <v>1.5683873663604879</v>
      </c>
      <c r="V99" s="56">
        <f t="shared" si="13"/>
        <v>1.6402296792651709</v>
      </c>
      <c r="W99" s="56">
        <f t="shared" si="13"/>
        <v>1.7120719921698542</v>
      </c>
      <c r="X99" s="56">
        <f t="shared" si="13"/>
        <v>1.7839143050745372</v>
      </c>
      <c r="Y99" s="56">
        <f t="shared" si="13"/>
        <v>1.8557566179792202</v>
      </c>
      <c r="Z99" s="56">
        <f t="shared" si="13"/>
        <v>1.9275989308839032</v>
      </c>
      <c r="AA99" s="56">
        <f t="shared" si="13"/>
        <v>1.9994412437885862</v>
      </c>
      <c r="AB99" s="56">
        <f t="shared" si="13"/>
        <v>2.0712835566932695</v>
      </c>
      <c r="AC99" s="56">
        <f t="shared" si="13"/>
        <v>2.1431258695979523</v>
      </c>
      <c r="AD99" s="56">
        <f t="shared" si="13"/>
        <v>2.2149681825026355</v>
      </c>
      <c r="AE99" s="56">
        <f t="shared" si="13"/>
        <v>2.2868104954073183</v>
      </c>
      <c r="AF99" s="56">
        <f t="shared" si="13"/>
        <v>2.3586528083120015</v>
      </c>
      <c r="AG99" s="56">
        <f t="shared" si="13"/>
        <v>2.4304951212166843</v>
      </c>
      <c r="AH99" s="56">
        <f t="shared" si="13"/>
        <v>2.5023374341213676</v>
      </c>
      <c r="AI99" s="56">
        <f t="shared" si="13"/>
        <v>2.5741797470260508</v>
      </c>
      <c r="AJ99" s="56">
        <f t="shared" si="14"/>
        <v>2.6460220599307336</v>
      </c>
      <c r="AK99" s="56">
        <f t="shared" si="14"/>
        <v>2.7178643728354168</v>
      </c>
    </row>
    <row r="100" spans="1:37" x14ac:dyDescent="0.45">
      <c r="A100" t="s">
        <v>125</v>
      </c>
      <c r="B100" t="s">
        <v>373</v>
      </c>
      <c r="C100">
        <v>0.10061529399240621</v>
      </c>
      <c r="D100">
        <v>0.10105046662645045</v>
      </c>
      <c r="E100">
        <v>0.12986219083779851</v>
      </c>
      <c r="F100">
        <v>0.15549107554735458</v>
      </c>
      <c r="G100">
        <v>0.18454154217380503</v>
      </c>
      <c r="H100">
        <v>0.21288665412866825</v>
      </c>
      <c r="I100">
        <v>0.25822361165324159</v>
      </c>
      <c r="J100">
        <v>0.29169294205315632</v>
      </c>
      <c r="K100">
        <v>0.31587849969837833</v>
      </c>
      <c r="L100">
        <v>0.31697399666441928</v>
      </c>
      <c r="M100">
        <v>0.31974069053617687</v>
      </c>
      <c r="N100">
        <v>0.32127407827969195</v>
      </c>
      <c r="O100">
        <v>0.34161103580426527</v>
      </c>
      <c r="P100">
        <v>0.36446779035520388</v>
      </c>
      <c r="Q100">
        <v>0.4308361875022178</v>
      </c>
      <c r="R100">
        <v>0.51790722117738908</v>
      </c>
      <c r="S100" s="56">
        <f t="shared" si="15"/>
        <v>0.53996669387175755</v>
      </c>
      <c r="T100" s="56">
        <f t="shared" si="13"/>
        <v>0.58821583762109242</v>
      </c>
      <c r="U100" s="56">
        <f t="shared" si="13"/>
        <v>0.63646498137042706</v>
      </c>
      <c r="V100" s="56">
        <f t="shared" si="13"/>
        <v>0.68471412511976171</v>
      </c>
      <c r="W100" s="56">
        <f t="shared" si="13"/>
        <v>0.73296326886909635</v>
      </c>
      <c r="X100" s="56">
        <f t="shared" si="13"/>
        <v>0.781212412618431</v>
      </c>
      <c r="Y100" s="56">
        <f t="shared" si="13"/>
        <v>0.82946155636776586</v>
      </c>
      <c r="Z100" s="56">
        <f t="shared" si="13"/>
        <v>0.87771070011710051</v>
      </c>
      <c r="AA100" s="56">
        <f t="shared" si="13"/>
        <v>0.92595984386643515</v>
      </c>
      <c r="AB100" s="56">
        <f t="shared" si="13"/>
        <v>0.97420898761576979</v>
      </c>
      <c r="AC100" s="56">
        <f t="shared" si="13"/>
        <v>1.0224581313651044</v>
      </c>
      <c r="AD100" s="56">
        <f t="shared" si="13"/>
        <v>1.0707072751144391</v>
      </c>
      <c r="AE100" s="56">
        <f t="shared" si="13"/>
        <v>1.1189564188637739</v>
      </c>
      <c r="AF100" s="56">
        <f t="shared" si="13"/>
        <v>1.1672055626131086</v>
      </c>
      <c r="AG100" s="56">
        <f t="shared" si="13"/>
        <v>1.2154547063624432</v>
      </c>
      <c r="AH100" s="56">
        <f t="shared" si="13"/>
        <v>1.2637038501117779</v>
      </c>
      <c r="AI100" s="56">
        <f t="shared" si="13"/>
        <v>1.3119529938611125</v>
      </c>
      <c r="AJ100" s="56">
        <f t="shared" si="14"/>
        <v>1.3602021376104472</v>
      </c>
      <c r="AK100" s="56">
        <f t="shared" si="14"/>
        <v>1.4084512813597818</v>
      </c>
    </row>
    <row r="101" spans="1:37" x14ac:dyDescent="0.45">
      <c r="A101" t="s">
        <v>118</v>
      </c>
      <c r="B101" t="s">
        <v>374</v>
      </c>
      <c r="C101">
        <v>0.186</v>
      </c>
      <c r="D101">
        <v>0.374</v>
      </c>
      <c r="E101">
        <v>0.58399999999999996</v>
      </c>
      <c r="F101">
        <v>0.55500000000000005</v>
      </c>
      <c r="G101">
        <v>0.64200000000000002</v>
      </c>
      <c r="H101">
        <v>0.82799999999999996</v>
      </c>
      <c r="I101">
        <v>0.747</v>
      </c>
      <c r="J101">
        <v>0.82699999999999996</v>
      </c>
      <c r="K101">
        <v>1.0620000000000001</v>
      </c>
      <c r="L101">
        <v>1.1599999999999999</v>
      </c>
      <c r="M101">
        <v>1.4379999999999999</v>
      </c>
      <c r="N101">
        <v>1.6910000000000001</v>
      </c>
      <c r="O101">
        <v>1.137</v>
      </c>
      <c r="P101">
        <v>1.401</v>
      </c>
      <c r="Q101">
        <v>1.1220000000000001</v>
      </c>
      <c r="R101">
        <v>2.0259999999999998</v>
      </c>
      <c r="S101" s="56">
        <f t="shared" si="15"/>
        <v>1.6718999999999999</v>
      </c>
      <c r="T101" s="56">
        <f t="shared" si="13"/>
        <v>1.7374000000000001</v>
      </c>
      <c r="U101" s="56">
        <f t="shared" si="13"/>
        <v>1.8028999999999997</v>
      </c>
      <c r="V101" s="56">
        <f t="shared" si="13"/>
        <v>1.8683999999999998</v>
      </c>
      <c r="W101" s="56">
        <f t="shared" si="13"/>
        <v>1.9339</v>
      </c>
      <c r="X101" s="56">
        <f t="shared" si="13"/>
        <v>1.9993999999999996</v>
      </c>
      <c r="Y101" s="56">
        <f t="shared" si="13"/>
        <v>2.0648999999999997</v>
      </c>
      <c r="Z101" s="56">
        <f t="shared" si="13"/>
        <v>2.1303999999999998</v>
      </c>
      <c r="AA101" s="56">
        <f t="shared" si="13"/>
        <v>2.1958999999999995</v>
      </c>
      <c r="AB101" s="56">
        <f t="shared" si="13"/>
        <v>2.2613999999999996</v>
      </c>
      <c r="AC101" s="56">
        <f t="shared" si="13"/>
        <v>2.3268999999999993</v>
      </c>
      <c r="AD101" s="56">
        <f t="shared" si="13"/>
        <v>2.3923999999999994</v>
      </c>
      <c r="AE101" s="56">
        <f t="shared" si="13"/>
        <v>2.4578999999999995</v>
      </c>
      <c r="AF101" s="56">
        <f t="shared" si="13"/>
        <v>2.5233999999999992</v>
      </c>
      <c r="AG101" s="56">
        <f t="shared" si="13"/>
        <v>2.5888999999999993</v>
      </c>
      <c r="AH101" s="56">
        <f t="shared" si="13"/>
        <v>2.6543999999999994</v>
      </c>
      <c r="AI101" s="56">
        <f t="shared" si="13"/>
        <v>2.7198999999999995</v>
      </c>
      <c r="AJ101" s="56">
        <f t="shared" si="14"/>
        <v>2.7853999999999992</v>
      </c>
      <c r="AK101" s="56">
        <f t="shared" si="14"/>
        <v>2.8508999999999993</v>
      </c>
    </row>
    <row r="102" spans="1:37" x14ac:dyDescent="0.45">
      <c r="A102" t="s">
        <v>138</v>
      </c>
      <c r="B102" t="s">
        <v>375</v>
      </c>
      <c r="C102">
        <v>1.384128685453657</v>
      </c>
      <c r="D102">
        <v>1.6679196123147093</v>
      </c>
      <c r="E102">
        <v>2.0431209480371395</v>
      </c>
      <c r="F102">
        <v>2.487623717217788</v>
      </c>
      <c r="G102">
        <v>2.92784598468806</v>
      </c>
      <c r="H102">
        <v>3.2486292555790848</v>
      </c>
      <c r="I102">
        <v>3.5177580224792311</v>
      </c>
      <c r="J102">
        <v>3.6562607102133899</v>
      </c>
      <c r="K102">
        <v>3.743838247271543</v>
      </c>
      <c r="L102">
        <v>3.4555280990389314</v>
      </c>
      <c r="M102">
        <v>4.0392441765759894</v>
      </c>
      <c r="N102">
        <v>4.5132749633490796</v>
      </c>
      <c r="O102">
        <v>3.5389508063202473</v>
      </c>
      <c r="P102">
        <v>4.1409604984525163</v>
      </c>
      <c r="Q102">
        <v>4.492263235054569</v>
      </c>
      <c r="R102">
        <v>4.0877980127056519</v>
      </c>
      <c r="S102" s="56">
        <f t="shared" si="15"/>
        <v>4.1853570614106532</v>
      </c>
      <c r="T102" s="56">
        <f t="shared" si="13"/>
        <v>4.1955929141553998</v>
      </c>
      <c r="U102" s="56">
        <f t="shared" si="13"/>
        <v>4.2058287669001464</v>
      </c>
      <c r="V102" s="56">
        <f t="shared" si="13"/>
        <v>4.216064619644893</v>
      </c>
      <c r="W102" s="56">
        <f t="shared" si="13"/>
        <v>4.2263004723896396</v>
      </c>
      <c r="X102" s="56">
        <f t="shared" si="13"/>
        <v>4.2365363251343862</v>
      </c>
      <c r="Y102" s="56">
        <f t="shared" si="13"/>
        <v>4.2467721778791327</v>
      </c>
      <c r="Z102" s="56">
        <f t="shared" si="13"/>
        <v>4.2570080306238793</v>
      </c>
      <c r="AA102" s="56">
        <f t="shared" si="13"/>
        <v>4.2672438833686259</v>
      </c>
      <c r="AB102" s="56">
        <f t="shared" si="13"/>
        <v>4.2774797361133725</v>
      </c>
      <c r="AC102" s="56">
        <f t="shared" si="13"/>
        <v>4.2877155888581191</v>
      </c>
      <c r="AD102" s="56">
        <f t="shared" si="13"/>
        <v>4.2979514416028657</v>
      </c>
      <c r="AE102" s="56">
        <f t="shared" si="13"/>
        <v>4.3081872943476132</v>
      </c>
      <c r="AF102" s="56">
        <f t="shared" si="13"/>
        <v>4.3184231470923589</v>
      </c>
      <c r="AG102" s="56">
        <f t="shared" si="13"/>
        <v>4.3286589998371063</v>
      </c>
      <c r="AH102" s="56">
        <f t="shared" si="13"/>
        <v>4.3388948525818529</v>
      </c>
      <c r="AI102" s="56">
        <f t="shared" si="13"/>
        <v>4.3491307053265995</v>
      </c>
      <c r="AJ102" s="56">
        <f t="shared" si="14"/>
        <v>4.3593665580713461</v>
      </c>
      <c r="AK102" s="56">
        <f t="shared" si="14"/>
        <v>4.3696024108160927</v>
      </c>
    </row>
    <row r="104" spans="1:37" x14ac:dyDescent="0.45">
      <c r="A104" t="s">
        <v>405</v>
      </c>
    </row>
    <row r="105" spans="1:37" x14ac:dyDescent="0.45">
      <c r="A105" s="106">
        <f>IF(Dashboard!$E$23, INDEX(B105:F106, 2, MATCH($B$1,$B$105:$F$105,0), 1), 1)</f>
        <v>1</v>
      </c>
      <c r="B105" t="s">
        <v>43</v>
      </c>
      <c r="C105" t="s">
        <v>427</v>
      </c>
      <c r="D105" t="s">
        <v>44</v>
      </c>
      <c r="E105" t="s">
        <v>45</v>
      </c>
      <c r="F105" t="s">
        <v>46</v>
      </c>
    </row>
    <row r="106" spans="1:37" x14ac:dyDescent="0.45">
      <c r="A106" t="s">
        <v>524</v>
      </c>
      <c r="B106">
        <v>1</v>
      </c>
      <c r="C106">
        <v>0.87</v>
      </c>
      <c r="D106">
        <f>(0.19*C106 + 0.03*F106) / (0.22)</f>
        <v>0.83318181818181813</v>
      </c>
      <c r="E106">
        <f>F106</f>
        <v>0.6</v>
      </c>
      <c r="F106">
        <v>0.6</v>
      </c>
      <c r="I106" t="s">
        <v>428</v>
      </c>
    </row>
    <row r="108" spans="1:37" x14ac:dyDescent="0.45">
      <c r="A108" t="s">
        <v>525</v>
      </c>
      <c r="B108">
        <v>1</v>
      </c>
      <c r="C108">
        <v>0.86</v>
      </c>
      <c r="D108">
        <f>(0.19*C108 + 0.03*F108) / (0.22)</f>
        <v>0.83818181818181814</v>
      </c>
      <c r="E108">
        <f>E106</f>
        <v>0.6</v>
      </c>
      <c r="F108">
        <v>0.7</v>
      </c>
      <c r="I108" t="s">
        <v>429</v>
      </c>
    </row>
    <row r="109" spans="1:37" x14ac:dyDescent="0.45">
      <c r="A109" t="s">
        <v>526</v>
      </c>
      <c r="B109">
        <v>1</v>
      </c>
      <c r="C109">
        <f>AVERAGE(C108,0.89)</f>
        <v>0.875</v>
      </c>
      <c r="D109">
        <f>AVERAGE(D108,0.86)</f>
        <v>0.84909090909090912</v>
      </c>
      <c r="E109">
        <f>AVERAGE(E108,0.67)</f>
        <v>0.63500000000000001</v>
      </c>
      <c r="F109">
        <f>AVERAGE(F108,0.67)</f>
        <v>0.68500000000000005</v>
      </c>
      <c r="I109" t="s">
        <v>430</v>
      </c>
    </row>
    <row r="110" spans="1:37" x14ac:dyDescent="0.45">
      <c r="D110" t="s">
        <v>454</v>
      </c>
      <c r="E110" t="s">
        <v>523</v>
      </c>
      <c r="F110" t="s">
        <v>453</v>
      </c>
    </row>
    <row r="111" spans="1:37" x14ac:dyDescent="0.45">
      <c r="D111">
        <v>0.9</v>
      </c>
      <c r="E111">
        <v>0.9</v>
      </c>
      <c r="F111">
        <v>0.80714285714285716</v>
      </c>
    </row>
  </sheetData>
  <mergeCells count="1">
    <mergeCell ref="F24:K24"/>
  </mergeCells>
  <dataValidations count="1">
    <dataValidation type="list" allowBlank="1" showInputMessage="1" showErrorMessage="1" sqref="L1" xr:uid="{00000000-0002-0000-0800-000000000000}">
      <formula1>"Scheduled, Smoothed, Consumer Reports"</formula1>
    </dataValidation>
  </dataValidations>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SummarySheet</vt:lpstr>
      <vt:lpstr>Inputs_LDV</vt:lpstr>
      <vt:lpstr>Inputs_HDV</vt:lpstr>
      <vt:lpstr>Vehicle</vt:lpstr>
      <vt:lpstr>ResidualValue</vt:lpstr>
      <vt:lpstr>Fuel Prices</vt:lpstr>
      <vt:lpstr>Insurance</vt:lpstr>
      <vt:lpstr>Maintenance &amp; Repair</vt:lpstr>
      <vt:lpstr>Taxes &amp; Fees</vt:lpstr>
      <vt:lpstr>Operation</vt:lpstr>
      <vt:lpstr>VMT</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TCO calculations</dc:title>
  <dc:creator>David Gohlke</dc:creator>
  <cp:lastModifiedBy>Ou, Shawn</cp:lastModifiedBy>
  <dcterms:created xsi:type="dcterms:W3CDTF">2020-05-12T15:28:12Z</dcterms:created>
  <dcterms:modified xsi:type="dcterms:W3CDTF">2023-03-31T19:28:48Z</dcterms:modified>
</cp:coreProperties>
</file>