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nianDML\Documents\Paradox Interactive\Victoria 3\mod\维多利亚的异星工厂（Factorio）\附件\"/>
    </mc:Choice>
  </mc:AlternateContent>
  <xr:revisionPtr revIDLastSave="0" documentId="13_ncr:1_{3B091E01-FA21-45EA-AC2F-48105ABB3EE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1" l="1"/>
  <c r="O61" i="1"/>
  <c r="S61" i="1" s="1"/>
  <c r="O60" i="1" s="1"/>
  <c r="S60" i="1" s="1"/>
  <c r="O42" i="1"/>
  <c r="S62" i="1"/>
  <c r="S56" i="1"/>
  <c r="O58" i="1"/>
  <c r="M16" i="1"/>
  <c r="O17" i="1"/>
  <c r="O36" i="1"/>
  <c r="O35" i="1"/>
  <c r="O26" i="1"/>
  <c r="S26" i="1" s="1"/>
  <c r="S25" i="1"/>
  <c r="S41" i="1"/>
  <c r="O56" i="1"/>
  <c r="O55" i="1"/>
  <c r="S55" i="1" s="1"/>
  <c r="O54" i="1"/>
  <c r="S54" i="1" s="1"/>
  <c r="O53" i="1"/>
  <c r="S53" i="1" s="1"/>
  <c r="O51" i="1"/>
  <c r="S51" i="1" s="1"/>
  <c r="O49" i="1"/>
  <c r="S49" i="1" s="1"/>
  <c r="O50" i="1"/>
  <c r="S50" i="1" s="1"/>
  <c r="O47" i="1"/>
  <c r="S47" i="1" s="1"/>
  <c r="O46" i="1"/>
  <c r="S46" i="1" s="1"/>
  <c r="R37" i="1"/>
  <c r="M37" i="1"/>
  <c r="R36" i="1"/>
  <c r="M36" i="1"/>
  <c r="R35" i="1"/>
  <c r="M35" i="1"/>
  <c r="S35" i="1" s="1"/>
  <c r="O33" i="1"/>
  <c r="S33" i="1" s="1"/>
  <c r="O32" i="1"/>
  <c r="S32" i="1" s="1"/>
  <c r="O31" i="1"/>
  <c r="S31" i="1" s="1"/>
  <c r="O30" i="1"/>
  <c r="S30" i="1" s="1"/>
  <c r="O29" i="1"/>
  <c r="S29" i="1" s="1"/>
  <c r="O28" i="1"/>
  <c r="S28" i="1" s="1"/>
  <c r="O27" i="1"/>
  <c r="S27" i="1" s="1"/>
  <c r="R21" i="1"/>
  <c r="M21" i="1"/>
  <c r="R16" i="1"/>
  <c r="R20" i="1"/>
  <c r="M20" i="1"/>
  <c r="R19" i="1"/>
  <c r="R17" i="1"/>
  <c r="R18" i="1"/>
  <c r="M19" i="1"/>
  <c r="O18" i="1"/>
  <c r="M18" i="1"/>
  <c r="S18" i="1" s="1"/>
  <c r="M17" i="1"/>
  <c r="S17" i="1" s="1"/>
  <c r="O16" i="1"/>
  <c r="O11" i="1"/>
  <c r="S11" i="1" s="1"/>
  <c r="O12" i="1"/>
  <c r="S12" i="1" s="1"/>
  <c r="G16" i="1"/>
  <c r="G15" i="1"/>
  <c r="G14" i="1"/>
  <c r="G13" i="1"/>
  <c r="G12" i="1"/>
  <c r="G11" i="1"/>
  <c r="O59" i="1" l="1"/>
  <c r="S59" i="1" s="1"/>
  <c r="O57" i="1" s="1"/>
  <c r="S57" i="1" s="1"/>
  <c r="O45" i="1"/>
  <c r="S45" i="1" s="1"/>
  <c r="S16" i="1"/>
  <c r="S36" i="1"/>
  <c r="O34" i="1"/>
  <c r="O37" i="1"/>
  <c r="O38" i="1"/>
  <c r="O44" i="1"/>
  <c r="S44" i="1" s="1"/>
  <c r="S38" i="1"/>
  <c r="S42" i="1"/>
  <c r="O39" i="1"/>
  <c r="S39" i="1" s="1"/>
  <c r="O19" i="1"/>
  <c r="O23" i="1"/>
  <c r="S23" i="1" s="1"/>
  <c r="O20" i="1"/>
  <c r="S20" i="1" s="1"/>
  <c r="O22" i="1"/>
  <c r="S22" i="1" s="1"/>
  <c r="S19" i="1" l="1"/>
  <c r="O52" i="1" s="1"/>
  <c r="O21" i="1"/>
  <c r="S21" i="1" s="1"/>
  <c r="S37" i="1"/>
  <c r="O14" i="1"/>
  <c r="S14" i="1" s="1"/>
  <c r="O48" i="1"/>
  <c r="S34" i="1"/>
  <c r="O24" i="1" s="1"/>
  <c r="S24" i="1" s="1"/>
  <c r="O13" i="1"/>
  <c r="S13" i="1" s="1"/>
  <c r="O15" i="1" l="1"/>
  <c r="S15" i="1" s="1"/>
  <c r="S52" i="1"/>
  <c r="O43" i="1" s="1"/>
  <c r="S43" i="1" s="1"/>
  <c r="S48" i="1"/>
  <c r="O40" i="1" s="1"/>
  <c r="S40" i="1" s="1"/>
</calcChain>
</file>

<file path=xl/sharedStrings.xml><?xml version="1.0" encoding="utf-8"?>
<sst xmlns="http://schemas.openxmlformats.org/spreadsheetml/2006/main" count="201" uniqueCount="168">
  <si>
    <t>价格</t>
    <phoneticPr fontId="1" type="noConversion"/>
  </si>
  <si>
    <t>等价代换/v</t>
    <phoneticPr fontId="1" type="noConversion"/>
  </si>
  <si>
    <t>等价代换/f1</t>
    <phoneticPr fontId="1" type="noConversion"/>
  </si>
  <si>
    <t>等价代换/f2</t>
    <phoneticPr fontId="1" type="noConversion"/>
  </si>
  <si>
    <t>注释：</t>
    <phoneticPr fontId="1" type="noConversion"/>
  </si>
  <si>
    <t>等价代换/f3</t>
    <phoneticPr fontId="1" type="noConversion"/>
  </si>
  <si>
    <t>商品/v</t>
    <phoneticPr fontId="1" type="noConversion"/>
  </si>
  <si>
    <t>商品/f</t>
    <phoneticPr fontId="1" type="noConversion"/>
  </si>
  <si>
    <t>原料总计（代换后）</t>
    <phoneticPr fontId="1" type="noConversion"/>
  </si>
  <si>
    <t>③原料总计的计算工具：来自factorio的factory planner mod</t>
    <phoneticPr fontId="1" type="noConversion"/>
  </si>
  <si>
    <t>①v = vic3 = 维多利亚3 = v1 = v2 = …… =  vn / f = factorio = 异星工厂 = f1 = f2 = …… =  fn</t>
    <phoneticPr fontId="1" type="noConversion"/>
  </si>
  <si>
    <t>工时价格/f/秒</t>
    <phoneticPr fontId="1" type="noConversion"/>
  </si>
  <si>
    <t>耗能</t>
    <phoneticPr fontId="1" type="noConversion"/>
  </si>
  <si>
    <t>污染</t>
    <phoneticPr fontId="1" type="noConversion"/>
  </si>
  <si>
    <t>铁*1</t>
    <phoneticPr fontId="1" type="noConversion"/>
  </si>
  <si>
    <t>铁板*1</t>
    <phoneticPr fontId="1" type="noConversion"/>
  </si>
  <si>
    <t>铜板*1</t>
    <phoneticPr fontId="1" type="noConversion"/>
  </si>
  <si>
    <t>石矿*1</t>
    <phoneticPr fontId="1" type="noConversion"/>
  </si>
  <si>
    <t>煤矿*1</t>
    <phoneticPr fontId="1" type="noConversion"/>
  </si>
  <si>
    <t>油*1</t>
    <phoneticPr fontId="1" type="noConversion"/>
  </si>
  <si>
    <t>电*1</t>
    <phoneticPr fontId="1" type="noConversion"/>
  </si>
  <si>
    <t>污染*1</t>
    <phoneticPr fontId="1" type="noConversion"/>
  </si>
  <si>
    <t>100p/分钟</t>
    <phoneticPr fontId="1" type="noConversion"/>
  </si>
  <si>
    <t>3铁</t>
    <phoneticPr fontId="1" type="noConversion"/>
  </si>
  <si>
    <t>工时总计</t>
    <phoneticPr fontId="1" type="noConversion"/>
  </si>
  <si>
    <t>④所有的商品都是以最低产出的生产计算，而非平均</t>
    <phoneticPr fontId="1" type="noConversion"/>
  </si>
  <si>
    <t>附注</t>
    <phoneticPr fontId="1" type="noConversion"/>
  </si>
  <si>
    <t>物流科技包</t>
    <phoneticPr fontId="1" type="noConversion"/>
  </si>
  <si>
    <t>机自科技包</t>
    <phoneticPr fontId="1" type="noConversion"/>
  </si>
  <si>
    <t>化工科技包</t>
  </si>
  <si>
    <t>生产科技包</t>
  </si>
  <si>
    <t>效能科技包</t>
  </si>
  <si>
    <t>7铁</t>
    <phoneticPr fontId="1" type="noConversion"/>
  </si>
  <si>
    <t>钢*1</t>
    <phoneticPr fontId="1" type="noConversion"/>
  </si>
  <si>
    <t>钢材*1</t>
    <phoneticPr fontId="1" type="noConversion"/>
  </si>
  <si>
    <t>硫磺*1</t>
    <phoneticPr fontId="1" type="noConversion"/>
  </si>
  <si>
    <t>内燃机</t>
    <phoneticPr fontId="1" type="noConversion"/>
  </si>
  <si>
    <t>4铁 1钢</t>
    <phoneticPr fontId="1" type="noConversion"/>
  </si>
  <si>
    <t>塑料</t>
    <phoneticPr fontId="1" type="noConversion"/>
  </si>
  <si>
    <t>⑤石油裂解取采用最高效方式</t>
    <phoneticPr fontId="1" type="noConversion"/>
  </si>
  <si>
    <t>②精确两位小数且四舍五入。</t>
    <phoneticPr fontId="1" type="noConversion"/>
  </si>
  <si>
    <t>等价代换/f4</t>
    <phoneticPr fontId="1" type="noConversion"/>
  </si>
  <si>
    <t>石砖*0.5</t>
    <phoneticPr fontId="1" type="noConversion"/>
  </si>
  <si>
    <t>硫酸</t>
    <phoneticPr fontId="1" type="noConversion"/>
  </si>
  <si>
    <t>电池</t>
    <phoneticPr fontId="1" type="noConversion"/>
  </si>
  <si>
    <t>2铁 20硫酸</t>
    <phoneticPr fontId="1" type="noConversion"/>
  </si>
  <si>
    <t>电动机</t>
    <phoneticPr fontId="1" type="noConversion"/>
  </si>
  <si>
    <t>处理器</t>
    <phoneticPr fontId="1" type="noConversion"/>
  </si>
  <si>
    <t>64铁 4塑料 5硫酸</t>
    <phoneticPr fontId="1" type="noConversion"/>
  </si>
  <si>
    <t>原料价格（元/次）</t>
    <phoneticPr fontId="1" type="noConversion"/>
  </si>
  <si>
    <t>最终价格（元/个）</t>
    <phoneticPr fontId="1" type="noConversion"/>
  </si>
  <si>
    <t>基础物流包</t>
    <phoneticPr fontId="1" type="noConversion"/>
  </si>
  <si>
    <t>高速物流包</t>
    <phoneticPr fontId="1" type="noConversion"/>
  </si>
  <si>
    <t>铁路物流包</t>
    <phoneticPr fontId="1" type="noConversion"/>
  </si>
  <si>
    <t>隐配方</t>
    <phoneticPr fontId="1" type="noConversion"/>
  </si>
  <si>
    <t>67铁</t>
    <phoneticPr fontId="1" type="noConversion"/>
  </si>
  <si>
    <t>电力机械臂</t>
    <phoneticPr fontId="1" type="noConversion"/>
  </si>
  <si>
    <t>基础传送带</t>
    <phoneticPr fontId="1" type="noConversion"/>
  </si>
  <si>
    <t>基础地下传送带</t>
    <phoneticPr fontId="1" type="noConversion"/>
  </si>
  <si>
    <t>基础分流器</t>
    <phoneticPr fontId="1" type="noConversion"/>
  </si>
  <si>
    <t>5.5铁</t>
    <phoneticPr fontId="1" type="noConversion"/>
  </si>
  <si>
    <t>3铁</t>
    <phoneticPr fontId="1" type="noConversion"/>
  </si>
  <si>
    <t>17.5铁</t>
    <phoneticPr fontId="1" type="noConversion"/>
  </si>
  <si>
    <t>23.5铁</t>
    <phoneticPr fontId="1" type="noConversion"/>
  </si>
  <si>
    <t>高速机械臂</t>
    <phoneticPr fontId="1" type="noConversion"/>
  </si>
  <si>
    <t>高速传送带</t>
    <phoneticPr fontId="1" type="noConversion"/>
  </si>
  <si>
    <t>高速地下传送带</t>
    <phoneticPr fontId="1" type="noConversion"/>
  </si>
  <si>
    <t>高速分流器</t>
    <phoneticPr fontId="1" type="noConversion"/>
  </si>
  <si>
    <t>12.5铁</t>
    <phoneticPr fontId="1" type="noConversion"/>
  </si>
  <si>
    <t>11.5铁</t>
    <phoneticPr fontId="1" type="noConversion"/>
  </si>
  <si>
    <t>97.5铁</t>
    <phoneticPr fontId="1" type="noConversion"/>
  </si>
  <si>
    <t>68.5铁</t>
    <phoneticPr fontId="1" type="noConversion"/>
  </si>
  <si>
    <t>集装机械臂</t>
    <phoneticPr fontId="1" type="noConversion"/>
  </si>
  <si>
    <t>煤炭*1</t>
    <phoneticPr fontId="1" type="noConversion"/>
  </si>
  <si>
    <t>隐配方 2.4铁 2硫磺</t>
    <phoneticPr fontId="1" type="noConversion"/>
  </si>
  <si>
    <t>87铁 2塑料</t>
    <phoneticPr fontId="1" type="noConversion"/>
  </si>
  <si>
    <t>产量（原始）</t>
    <phoneticPr fontId="1" type="noConversion"/>
  </si>
  <si>
    <t>305.5铁</t>
    <phoneticPr fontId="1" type="noConversion"/>
  </si>
  <si>
    <t>二型生产包</t>
    <phoneticPr fontId="1" type="noConversion"/>
  </si>
  <si>
    <t>三型生产包</t>
    <phoneticPr fontId="1" type="noConversion"/>
  </si>
  <si>
    <t>插件包</t>
    <phoneticPr fontId="1" type="noConversion"/>
  </si>
  <si>
    <t>采矿包</t>
    <phoneticPr fontId="1" type="noConversion"/>
  </si>
  <si>
    <t>组装机1型</t>
    <phoneticPr fontId="1" type="noConversion"/>
  </si>
  <si>
    <t>26.5铁</t>
    <phoneticPr fontId="1" type="noConversion"/>
  </si>
  <si>
    <t>一型生产包</t>
    <phoneticPr fontId="1" type="noConversion"/>
  </si>
  <si>
    <t>组装机2型</t>
    <phoneticPr fontId="1" type="noConversion"/>
  </si>
  <si>
    <t>组装机3型</t>
    <phoneticPr fontId="1" type="noConversion"/>
  </si>
  <si>
    <t>蒸汽发电包</t>
    <phoneticPr fontId="1" type="noConversion"/>
  </si>
  <si>
    <t>太阳发电包</t>
    <phoneticPr fontId="1" type="noConversion"/>
  </si>
  <si>
    <t>石油气*9.8</t>
    <phoneticPr fontId="1" type="noConversion"/>
  </si>
  <si>
    <t>轻油*6.4</t>
    <phoneticPr fontId="1" type="noConversion"/>
  </si>
  <si>
    <t>重油*2.5</t>
    <phoneticPr fontId="1" type="noConversion"/>
  </si>
  <si>
    <t>润滑油*2.5</t>
    <phoneticPr fontId="1" type="noConversion"/>
  </si>
  <si>
    <t>8钢 209铁 5硫磺 11.5煤炭 29.47油</t>
    <phoneticPr fontId="1" type="noConversion"/>
  </si>
  <si>
    <t>125铁 10煤炭 20.40油 25钢</t>
    <phoneticPr fontId="1" type="noConversion"/>
  </si>
  <si>
    <t>5铁 1内燃机 6油</t>
    <phoneticPr fontId="1" type="noConversion"/>
  </si>
  <si>
    <t>31.5铁 8油</t>
    <phoneticPr fontId="1" type="noConversion"/>
  </si>
  <si>
    <t>257.5铁 16油</t>
    <phoneticPr fontId="1" type="noConversion"/>
  </si>
  <si>
    <t>158.5铁 32油 20塑料</t>
    <phoneticPr fontId="1" type="noConversion"/>
  </si>
  <si>
    <t>52铁</t>
    <phoneticPr fontId="1" type="noConversion"/>
  </si>
  <si>
    <t>150.5铁 2钢</t>
    <phoneticPr fontId="1" type="noConversion"/>
  </si>
  <si>
    <t>504.5铁 20煤炭 88.8油 4钢</t>
    <phoneticPr fontId="1" type="noConversion"/>
  </si>
  <si>
    <t>极速物流包</t>
  </si>
  <si>
    <t>极速传送带</t>
  </si>
  <si>
    <t>极速地下传送带</t>
  </si>
  <si>
    <t>极速分流器</t>
  </si>
  <si>
    <t>炼油包</t>
    <phoneticPr fontId="1" type="noConversion"/>
  </si>
  <si>
    <t>1锅炉 2蒸汽机</t>
    <phoneticPr fontId="1" type="noConversion"/>
  </si>
  <si>
    <t>71铁</t>
    <phoneticPr fontId="1" type="noConversion"/>
  </si>
  <si>
    <t>21太阳能板 25蓄电池</t>
    <phoneticPr fontId="1" type="noConversion"/>
  </si>
  <si>
    <t>隐配方 14铁 10硫磺</t>
    <phoneticPr fontId="1" type="noConversion"/>
  </si>
  <si>
    <t>1242.5铁 105钢 250硫磺</t>
    <phoneticPr fontId="1" type="noConversion"/>
  </si>
  <si>
    <t>2抽油机 10管道 2地下管道</t>
    <phoneticPr fontId="1" type="noConversion"/>
  </si>
  <si>
    <t>1铁</t>
    <phoneticPr fontId="1" type="noConversion"/>
  </si>
  <si>
    <t>110铁 10钢</t>
    <phoneticPr fontId="1" type="noConversion"/>
  </si>
  <si>
    <t>2电力采矿机</t>
    <phoneticPr fontId="1" type="noConversion"/>
  </si>
  <si>
    <t>55铁</t>
    <phoneticPr fontId="1" type="noConversion"/>
  </si>
  <si>
    <t>生产方式</t>
    <phoneticPr fontId="1" type="noConversion"/>
  </si>
  <si>
    <t>生产方式/v</t>
    <phoneticPr fontId="1" type="noConversion"/>
  </si>
  <si>
    <t>附注</t>
    <phoneticPr fontId="1" type="noConversion"/>
  </si>
  <si>
    <t>雇佣</t>
    <phoneticPr fontId="1" type="noConversion"/>
  </si>
  <si>
    <t>建筑名称</t>
    <phoneticPr fontId="1" type="noConversion"/>
  </si>
  <si>
    <t>生产方式组</t>
    <phoneticPr fontId="1" type="noConversion"/>
  </si>
  <si>
    <t>44铁 2钢</t>
    <phoneticPr fontId="1" type="noConversion"/>
  </si>
  <si>
    <t>278铁 40塑料 4钢</t>
    <phoneticPr fontId="1" type="noConversion"/>
  </si>
  <si>
    <t>锅炉</t>
    <phoneticPr fontId="1" type="noConversion"/>
  </si>
  <si>
    <t>9铁</t>
    <phoneticPr fontId="1" type="noConversion"/>
  </si>
  <si>
    <t>蒸汽机</t>
    <phoneticPr fontId="1" type="noConversion"/>
  </si>
  <si>
    <t>31铁</t>
    <phoneticPr fontId="1" type="noConversion"/>
  </si>
  <si>
    <t>太阳能板</t>
    <phoneticPr fontId="1" type="noConversion"/>
  </si>
  <si>
    <t>42.5铁 5钢</t>
    <phoneticPr fontId="1" type="noConversion"/>
  </si>
  <si>
    <t>蓄电池</t>
    <phoneticPr fontId="1" type="noConversion"/>
  </si>
  <si>
    <t>5电池 2铁</t>
    <phoneticPr fontId="1" type="noConversion"/>
  </si>
  <si>
    <t>抽油机</t>
    <phoneticPr fontId="1" type="noConversion"/>
  </si>
  <si>
    <t>管道</t>
    <phoneticPr fontId="1" type="noConversion"/>
  </si>
  <si>
    <t>地下管道</t>
    <phoneticPr fontId="1" type="noConversion"/>
  </si>
  <si>
    <t>15铁</t>
    <phoneticPr fontId="1" type="noConversion"/>
  </si>
  <si>
    <t>电力采矿机</t>
    <phoneticPr fontId="1" type="noConversion"/>
  </si>
  <si>
    <t>27.5铁</t>
    <phoneticPr fontId="1" type="noConversion"/>
  </si>
  <si>
    <t>1000kw（1MW）</t>
    <phoneticPr fontId="1" type="noConversion"/>
  </si>
  <si>
    <t>1煤炭 2.04油 (=2)</t>
    <phoneticPr fontId="1" type="noConversion"/>
  </si>
  <si>
    <t>29铁 2钢 3煤炭 6.12油 1硫磺</t>
    <phoneticPr fontId="1" type="noConversion"/>
  </si>
  <si>
    <t>904铁 12煤炭 120.48油</t>
    <phoneticPr fontId="1" type="noConversion"/>
  </si>
  <si>
    <t>/m</t>
    <phoneticPr fontId="1" type="noConversion"/>
  </si>
  <si>
    <t>21铁 2内燃机 6塑料 1硫磺/m</t>
    <phoneticPr fontId="1" type="noConversion"/>
  </si>
  <si>
    <t>125铁 20塑料 25钢/m</t>
    <phoneticPr fontId="1" type="noConversion"/>
  </si>
  <si>
    <t>2电池 67.5铁 1电动机 15塑料 2处理器 7钢材/m</t>
    <phoneticPr fontId="1" type="noConversion"/>
  </si>
  <si>
    <t>2电力机械臂 10基础传送带 2基础地下传送带 1基础分流器/s</t>
    <phoneticPr fontId="1" type="noConversion"/>
  </si>
  <si>
    <t>2高速机械臂 10高速传送带 2高速地下传送带 1高速分流器/s</t>
    <phoneticPr fontId="1" type="noConversion"/>
  </si>
  <si>
    <t>2集装机械臂 10极速传送带 2极速地下传送带 1极速分流器/s</t>
    <phoneticPr fontId="1" type="noConversion"/>
  </si>
  <si>
    <t>1组装机1型 3电力机械臂 6基础传送带/s</t>
    <phoneticPr fontId="1" type="noConversion"/>
  </si>
  <si>
    <t>1组装机2型 3高速机械臂 6高速传送带/s</t>
    <phoneticPr fontId="1" type="noConversion"/>
  </si>
  <si>
    <t>1组装机3型 3高速机械臂 6极速传送带/s</t>
    <phoneticPr fontId="1" type="noConversion"/>
  </si>
  <si>
    <t>机器人包</t>
    <phoneticPr fontId="1" type="noConversion"/>
  </si>
  <si>
    <t>机器人指令平台</t>
    <phoneticPr fontId="1" type="noConversion"/>
  </si>
  <si>
    <t>物流机器人</t>
    <phoneticPr fontId="1" type="noConversion"/>
  </si>
  <si>
    <t>建设机器人</t>
    <phoneticPr fontId="1" type="noConversion"/>
  </si>
  <si>
    <t>405铁 45钢 90塑料</t>
    <phoneticPr fontId="1" type="noConversion"/>
  </si>
  <si>
    <t>机器人框架</t>
    <phoneticPr fontId="1" type="noConversion"/>
  </si>
  <si>
    <t>1铁 5硫磺(=50)</t>
    <phoneticPr fontId="1" type="noConversion"/>
  </si>
  <si>
    <t>1钢 7.5铁 2电池 1电动机</t>
    <phoneticPr fontId="1" type="noConversion"/>
  </si>
  <si>
    <t>14铁 4塑料 1机器人框架</t>
    <phoneticPr fontId="1" type="noConversion"/>
  </si>
  <si>
    <t>5铁 1机器人框架</t>
    <phoneticPr fontId="1" type="noConversion"/>
  </si>
  <si>
    <t>产量（缩放）</t>
    <phoneticPr fontId="1" type="noConversion"/>
  </si>
  <si>
    <t>3485铁 245钢 400硫磺 145煤炭 295.8油</t>
    <phoneticPr fontId="1" type="noConversion"/>
  </si>
  <si>
    <t xml:space="preserve">⑦耗能与污染：(必要机器耗能/污染*必要工时)/最低级机器效率 </t>
    <phoneticPr fontId="1" type="noConversion"/>
  </si>
  <si>
    <t>⑥每20点原料输入消耗1点基建，每级生产包按算法消耗电力</t>
    <phoneticPr fontId="1" type="noConversion"/>
  </si>
  <si>
    <t>1机器人指令平台 50物流机器人 50建设机器人/s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</si>
</sst>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tabSelected="1" topLeftCell="I10" workbookViewId="0">
      <selection activeCell="O52" sqref="O52"/>
    </sheetView>
  </sheetViews>
  <sheetFormatPr defaultRowHeight="14.25" x14ac:dyDescent="0.2"/>
  <cols>
    <col min="1" max="1" width="11.875" style="2" customWidth="1"/>
    <col min="2" max="2" width="16.5" style="2" customWidth="1"/>
    <col min="3" max="5" width="11.875" style="2" customWidth="1"/>
    <col min="6" max="6" width="10" style="2" customWidth="1"/>
    <col min="7" max="9" width="9" style="2"/>
    <col min="10" max="10" width="13.875" style="2" customWidth="1"/>
    <col min="11" max="11" width="53.5" style="2" bestFit="1" customWidth="1"/>
    <col min="12" max="12" width="9.875" style="2" customWidth="1"/>
    <col min="13" max="13" width="9" style="2"/>
    <col min="14" max="14" width="56.875" style="2" customWidth="1"/>
    <col min="15" max="15" width="21.375" style="2" customWidth="1"/>
    <col min="16" max="16" width="13.125" style="2" customWidth="1"/>
    <col min="17" max="17" width="13.875" style="2" customWidth="1"/>
    <col min="18" max="18" width="10" style="2" customWidth="1"/>
    <col min="19" max="19" width="15.5" style="2" customWidth="1"/>
    <col min="20" max="16384" width="9" style="2"/>
  </cols>
  <sheetData>
    <row r="1" spans="1:27" ht="24.95" customHeight="1" x14ac:dyDescent="0.2">
      <c r="A1" s="4" t="s">
        <v>4</v>
      </c>
      <c r="B1" s="4" t="s">
        <v>10</v>
      </c>
      <c r="C1" s="1"/>
      <c r="D1" s="1"/>
      <c r="E1" s="1"/>
      <c r="F1" s="1"/>
      <c r="G1" s="1"/>
      <c r="H1" s="1"/>
      <c r="I1" s="1"/>
      <c r="J1" s="1"/>
    </row>
    <row r="2" spans="1:27" ht="24.95" customHeight="1" x14ac:dyDescent="0.2">
      <c r="A2" s="4"/>
      <c r="B2" s="4" t="s">
        <v>40</v>
      </c>
      <c r="C2" s="1"/>
      <c r="D2" s="1"/>
      <c r="E2" s="1"/>
      <c r="F2" s="1"/>
      <c r="G2" s="1"/>
      <c r="H2" s="1"/>
      <c r="I2" s="1"/>
      <c r="J2" s="1"/>
    </row>
    <row r="3" spans="1:27" ht="24.95" customHeight="1" x14ac:dyDescent="0.2">
      <c r="A3" s="4"/>
      <c r="B3" s="4" t="s">
        <v>9</v>
      </c>
      <c r="C3" s="1"/>
      <c r="D3" s="1"/>
      <c r="E3" s="1"/>
      <c r="F3" s="1"/>
      <c r="G3" s="1"/>
      <c r="H3" s="1"/>
      <c r="I3" s="1"/>
      <c r="J3" s="1"/>
    </row>
    <row r="4" spans="1:27" ht="24.95" customHeight="1" x14ac:dyDescent="0.2">
      <c r="A4" s="4"/>
      <c r="B4" s="4" t="s">
        <v>25</v>
      </c>
      <c r="C4" s="1"/>
      <c r="D4" s="1"/>
      <c r="E4" s="1"/>
      <c r="F4" s="1"/>
      <c r="G4" s="1"/>
      <c r="H4" s="1"/>
      <c r="I4" s="1"/>
      <c r="J4" s="1"/>
    </row>
    <row r="5" spans="1:27" ht="24.95" customHeight="1" x14ac:dyDescent="0.2">
      <c r="A5" s="4"/>
      <c r="B5" s="4" t="s">
        <v>39</v>
      </c>
      <c r="C5" s="1"/>
      <c r="D5" s="1"/>
      <c r="E5" s="1"/>
      <c r="F5" s="1"/>
      <c r="G5" s="1"/>
      <c r="H5" s="1"/>
      <c r="I5" s="1"/>
      <c r="J5" s="1"/>
    </row>
    <row r="6" spans="1:27" ht="24.95" customHeight="1" x14ac:dyDescent="0.2">
      <c r="A6" s="1"/>
      <c r="B6" s="1" t="s">
        <v>166</v>
      </c>
      <c r="C6" s="1"/>
      <c r="D6" s="1"/>
      <c r="E6" s="1"/>
      <c r="F6" s="1"/>
      <c r="G6" s="1"/>
      <c r="H6" s="1"/>
      <c r="I6" s="1"/>
      <c r="J6" s="1"/>
    </row>
    <row r="7" spans="1:27" ht="24.95" customHeight="1" x14ac:dyDescent="0.2">
      <c r="A7" s="1"/>
      <c r="B7" s="1" t="s">
        <v>165</v>
      </c>
      <c r="C7" s="1"/>
      <c r="D7" s="1"/>
      <c r="E7" s="1"/>
      <c r="F7" s="1"/>
      <c r="G7" s="1"/>
      <c r="H7" s="1"/>
      <c r="I7" s="1"/>
      <c r="J7" s="1"/>
    </row>
    <row r="8" spans="1:27" ht="24.95" customHeight="1" x14ac:dyDescent="0.2">
      <c r="A8" s="3" t="s">
        <v>11</v>
      </c>
      <c r="B8" s="3">
        <v>1</v>
      </c>
      <c r="C8" s="1"/>
      <c r="D8" s="1"/>
      <c r="E8" s="1"/>
      <c r="F8" s="1"/>
      <c r="G8" s="1"/>
      <c r="H8" s="1"/>
      <c r="I8" s="1"/>
      <c r="J8" s="1"/>
    </row>
    <row r="9" spans="1:27" ht="24.9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27" ht="24.95" customHeight="1" x14ac:dyDescent="0.2">
      <c r="A10" s="5" t="s">
        <v>1</v>
      </c>
      <c r="B10" s="5" t="s">
        <v>2</v>
      </c>
      <c r="C10" s="5" t="s">
        <v>3</v>
      </c>
      <c r="D10" s="5" t="s">
        <v>5</v>
      </c>
      <c r="E10" s="5" t="s">
        <v>41</v>
      </c>
      <c r="G10" s="6" t="s">
        <v>6</v>
      </c>
      <c r="H10" s="6" t="s">
        <v>0</v>
      </c>
      <c r="J10" s="7" t="s">
        <v>7</v>
      </c>
      <c r="K10" s="7" t="s">
        <v>26</v>
      </c>
      <c r="L10" s="7" t="s">
        <v>24</v>
      </c>
      <c r="M10" s="7" t="s">
        <v>12</v>
      </c>
      <c r="N10" s="7" t="s">
        <v>8</v>
      </c>
      <c r="O10" s="7" t="s">
        <v>49</v>
      </c>
      <c r="P10" s="7" t="s">
        <v>76</v>
      </c>
      <c r="Q10" s="7" t="s">
        <v>163</v>
      </c>
      <c r="R10" s="7" t="s">
        <v>13</v>
      </c>
      <c r="S10" s="7" t="s">
        <v>50</v>
      </c>
      <c r="U10" s="2" t="s">
        <v>121</v>
      </c>
      <c r="V10" s="2" t="s">
        <v>122</v>
      </c>
      <c r="W10" s="2" t="s">
        <v>117</v>
      </c>
      <c r="Y10" s="2" t="s">
        <v>118</v>
      </c>
      <c r="Z10" s="2" t="s">
        <v>119</v>
      </c>
      <c r="AA10" s="2" t="s">
        <v>120</v>
      </c>
    </row>
    <row r="11" spans="1:27" ht="24.95" customHeight="1" x14ac:dyDescent="0.2">
      <c r="A11" s="5" t="s">
        <v>14</v>
      </c>
      <c r="B11" s="5" t="s">
        <v>15</v>
      </c>
      <c r="C11" s="5" t="s">
        <v>16</v>
      </c>
      <c r="D11" s="5" t="s">
        <v>17</v>
      </c>
      <c r="E11" s="5" t="s">
        <v>42</v>
      </c>
      <c r="G11" s="6" t="str">
        <f>A11</f>
        <v>铁*1</v>
      </c>
      <c r="H11" s="6">
        <v>40</v>
      </c>
      <c r="J11" s="8" t="s">
        <v>28</v>
      </c>
      <c r="K11" s="8" t="s">
        <v>143</v>
      </c>
      <c r="L11" s="8">
        <v>5.5</v>
      </c>
      <c r="M11" s="8">
        <v>0</v>
      </c>
      <c r="N11" s="8" t="s">
        <v>23</v>
      </c>
      <c r="O11" s="8">
        <f>3*H11</f>
        <v>120</v>
      </c>
      <c r="P11" s="8">
        <v>1</v>
      </c>
      <c r="Q11" s="8">
        <v>100</v>
      </c>
      <c r="R11" s="8">
        <v>0</v>
      </c>
      <c r="S11" s="8">
        <f>ROUND((L11*B$8+(M11/1000)*H$14+O11)/Q11,2)</f>
        <v>1.26</v>
      </c>
    </row>
    <row r="12" spans="1:27" x14ac:dyDescent="0.2">
      <c r="A12" s="2" t="s">
        <v>73</v>
      </c>
      <c r="B12" s="2" t="s">
        <v>18</v>
      </c>
      <c r="G12" s="2" t="str">
        <f>A12</f>
        <v>煤炭*1</v>
      </c>
      <c r="H12" s="2">
        <v>30</v>
      </c>
      <c r="J12" s="8" t="s">
        <v>27</v>
      </c>
      <c r="K12" s="8" t="s">
        <v>143</v>
      </c>
      <c r="L12" s="8">
        <v>8.75</v>
      </c>
      <c r="M12" s="8">
        <v>0</v>
      </c>
      <c r="N12" s="8" t="s">
        <v>32</v>
      </c>
      <c r="O12" s="8">
        <f>7*H11</f>
        <v>280</v>
      </c>
      <c r="P12" s="8">
        <v>1</v>
      </c>
      <c r="Q12" s="8">
        <v>100</v>
      </c>
      <c r="R12" s="8">
        <v>0</v>
      </c>
      <c r="S12" s="8">
        <f t="shared" ref="S12:S55" si="0">ROUND((L12*B$8+(M12/1000)*H$14+O12)/Q12,2)</f>
        <v>2.89</v>
      </c>
    </row>
    <row r="13" spans="1:27" x14ac:dyDescent="0.2">
      <c r="A13" s="2" t="s">
        <v>19</v>
      </c>
      <c r="B13" s="2" t="s">
        <v>89</v>
      </c>
      <c r="C13" s="2" t="s">
        <v>90</v>
      </c>
      <c r="D13" s="2" t="s">
        <v>91</v>
      </c>
      <c r="E13" s="2" t="s">
        <v>92</v>
      </c>
      <c r="G13" s="2" t="str">
        <f>A13</f>
        <v>油*1</v>
      </c>
      <c r="H13" s="2">
        <v>40</v>
      </c>
      <c r="J13" s="8" t="s">
        <v>29</v>
      </c>
      <c r="K13" s="8" t="s">
        <v>144</v>
      </c>
      <c r="L13" s="8">
        <v>52.5</v>
      </c>
      <c r="M13" s="8">
        <v>0</v>
      </c>
      <c r="N13" s="8" t="s">
        <v>141</v>
      </c>
      <c r="O13" s="8">
        <f>21*H11+2*S16+6*S17</f>
        <v>1733.3600000000001</v>
      </c>
      <c r="P13" s="8">
        <v>2</v>
      </c>
      <c r="Q13" s="8">
        <v>200</v>
      </c>
      <c r="R13" s="8">
        <v>0</v>
      </c>
      <c r="S13" s="8">
        <f t="shared" si="0"/>
        <v>8.93</v>
      </c>
    </row>
    <row r="14" spans="1:27" x14ac:dyDescent="0.2">
      <c r="A14" s="2" t="s">
        <v>20</v>
      </c>
      <c r="B14" s="2" t="s">
        <v>139</v>
      </c>
      <c r="G14" s="2" t="str">
        <f>A14</f>
        <v>电*1</v>
      </c>
      <c r="H14" s="2">
        <v>30</v>
      </c>
      <c r="J14" s="8" t="s">
        <v>30</v>
      </c>
      <c r="K14" s="8" t="s">
        <v>145</v>
      </c>
      <c r="L14" s="8">
        <v>153.5</v>
      </c>
      <c r="M14" s="8">
        <v>0</v>
      </c>
      <c r="N14" s="8" t="s">
        <v>94</v>
      </c>
      <c r="O14" s="8">
        <f>125*H11+20*S17+25*H15</f>
        <v>7441.2</v>
      </c>
      <c r="P14" s="8">
        <v>3</v>
      </c>
      <c r="Q14" s="8">
        <v>300</v>
      </c>
      <c r="R14" s="8">
        <v>0</v>
      </c>
      <c r="S14" s="8">
        <f t="shared" si="0"/>
        <v>25.32</v>
      </c>
    </row>
    <row r="15" spans="1:27" x14ac:dyDescent="0.2">
      <c r="A15" s="2" t="s">
        <v>21</v>
      </c>
      <c r="B15" s="2" t="s">
        <v>22</v>
      </c>
      <c r="G15" s="2" t="str">
        <f>A16</f>
        <v>钢*1</v>
      </c>
      <c r="H15" s="2">
        <v>50</v>
      </c>
      <c r="J15" s="8" t="s">
        <v>31</v>
      </c>
      <c r="K15" s="8" t="s">
        <v>146</v>
      </c>
      <c r="L15" s="8">
        <v>104.75</v>
      </c>
      <c r="M15" s="8">
        <v>0</v>
      </c>
      <c r="N15" s="8" t="s">
        <v>93</v>
      </c>
      <c r="O15" s="8">
        <f>2*S19+67.5*H11+1*S20+15*S17+2*S21+7*H15</f>
        <v>11071.96</v>
      </c>
      <c r="P15" s="8">
        <v>3</v>
      </c>
      <c r="Q15" s="8">
        <v>300</v>
      </c>
      <c r="R15" s="8">
        <v>0</v>
      </c>
      <c r="S15" s="8">
        <f>ROUND((L15*B$8+(M15/1000)*H$14+O15)/Q15,2)</f>
        <v>37.26</v>
      </c>
    </row>
    <row r="16" spans="1:27" x14ac:dyDescent="0.2">
      <c r="A16" s="2" t="s">
        <v>33</v>
      </c>
      <c r="B16" s="2" t="s">
        <v>34</v>
      </c>
      <c r="G16" s="2" t="str">
        <f>A17</f>
        <v>硫磺*1</v>
      </c>
      <c r="H16" s="2">
        <v>50</v>
      </c>
      <c r="J16" s="9" t="s">
        <v>36</v>
      </c>
      <c r="K16" s="9" t="s">
        <v>54</v>
      </c>
      <c r="L16" s="9">
        <v>11.5</v>
      </c>
      <c r="M16" s="9">
        <f>(77.5*10)/0.5</f>
        <v>1550</v>
      </c>
      <c r="N16" s="9" t="s">
        <v>37</v>
      </c>
      <c r="O16" s="9">
        <f>4*H11+1*H15</f>
        <v>210</v>
      </c>
      <c r="P16" s="9">
        <v>1</v>
      </c>
      <c r="Q16" s="9">
        <v>1</v>
      </c>
      <c r="R16" s="9">
        <f>(10*4)/100</f>
        <v>0.4</v>
      </c>
      <c r="S16" s="9">
        <f>ROUND((L16*B$8+(M16/1000)*H$14+O16)/Q16,2)</f>
        <v>268</v>
      </c>
    </row>
    <row r="17" spans="1:19" x14ac:dyDescent="0.2">
      <c r="A17" s="2" t="s">
        <v>35</v>
      </c>
      <c r="B17" s="2" t="s">
        <v>35</v>
      </c>
      <c r="J17" s="9" t="s">
        <v>38</v>
      </c>
      <c r="K17" s="9" t="s">
        <v>54</v>
      </c>
      <c r="L17" s="9">
        <v>1</v>
      </c>
      <c r="M17" s="9">
        <f>(217*1)/1</f>
        <v>217</v>
      </c>
      <c r="N17" s="9" t="s">
        <v>140</v>
      </c>
      <c r="O17" s="9">
        <f>1*H12+2.04*H13</f>
        <v>111.6</v>
      </c>
      <c r="P17" s="9">
        <v>2</v>
      </c>
      <c r="Q17" s="9">
        <v>2</v>
      </c>
      <c r="R17" s="9">
        <f t="shared" ref="R17:R18" si="1">(1*4)/100</f>
        <v>0.04</v>
      </c>
      <c r="S17" s="9">
        <f t="shared" si="0"/>
        <v>59.56</v>
      </c>
    </row>
    <row r="18" spans="1:19" x14ac:dyDescent="0.2">
      <c r="J18" s="9" t="s">
        <v>43</v>
      </c>
      <c r="K18" s="9" t="s">
        <v>54</v>
      </c>
      <c r="L18" s="9">
        <v>1</v>
      </c>
      <c r="M18" s="9">
        <f>(217*1)/1</f>
        <v>217</v>
      </c>
      <c r="N18" s="9" t="s">
        <v>159</v>
      </c>
      <c r="O18" s="9">
        <f>1*H11+5*H16</f>
        <v>290</v>
      </c>
      <c r="P18" s="9">
        <v>50</v>
      </c>
      <c r="Q18" s="9">
        <v>50</v>
      </c>
      <c r="R18" s="9">
        <f t="shared" si="1"/>
        <v>0.04</v>
      </c>
      <c r="S18" s="9">
        <f t="shared" si="0"/>
        <v>5.95</v>
      </c>
    </row>
    <row r="19" spans="1:19" x14ac:dyDescent="0.2">
      <c r="J19" s="9" t="s">
        <v>44</v>
      </c>
      <c r="K19" s="9" t="s">
        <v>74</v>
      </c>
      <c r="L19" s="9">
        <v>4</v>
      </c>
      <c r="M19" s="9">
        <f>(217*4)/1</f>
        <v>868</v>
      </c>
      <c r="N19" s="9" t="s">
        <v>45</v>
      </c>
      <c r="O19" s="9">
        <f>2*H11+20*S18</f>
        <v>199</v>
      </c>
      <c r="P19" s="9">
        <v>1</v>
      </c>
      <c r="Q19" s="9">
        <v>1</v>
      </c>
      <c r="R19" s="9">
        <f>(4*4)/100</f>
        <v>0.16</v>
      </c>
      <c r="S19" s="9">
        <f t="shared" si="0"/>
        <v>229.04</v>
      </c>
    </row>
    <row r="20" spans="1:19" x14ac:dyDescent="0.2">
      <c r="J20" s="9" t="s">
        <v>46</v>
      </c>
      <c r="K20" s="9" t="s">
        <v>54</v>
      </c>
      <c r="L20" s="9">
        <v>12.5</v>
      </c>
      <c r="M20" s="9">
        <f>(155*10)/0.75</f>
        <v>2066.6666666666665</v>
      </c>
      <c r="N20" s="9" t="s">
        <v>95</v>
      </c>
      <c r="O20" s="9">
        <f>5*H11+1*S16+6*H13</f>
        <v>708</v>
      </c>
      <c r="P20" s="9">
        <v>1</v>
      </c>
      <c r="Q20" s="9">
        <v>1</v>
      </c>
      <c r="R20" s="9">
        <f>(10*3)/100</f>
        <v>0.3</v>
      </c>
      <c r="S20" s="9">
        <f t="shared" si="0"/>
        <v>782.5</v>
      </c>
    </row>
    <row r="21" spans="1:19" x14ac:dyDescent="0.2">
      <c r="J21" s="9" t="s">
        <v>47</v>
      </c>
      <c r="K21" s="9" t="s">
        <v>54</v>
      </c>
      <c r="L21" s="9">
        <v>54</v>
      </c>
      <c r="M21" s="9">
        <f>(155*10)/0.75</f>
        <v>2066.6666666666665</v>
      </c>
      <c r="N21" s="9" t="s">
        <v>48</v>
      </c>
      <c r="O21" s="9">
        <f>64*H11+4*S17+5*S18</f>
        <v>2827.99</v>
      </c>
      <c r="P21" s="9">
        <v>1</v>
      </c>
      <c r="Q21" s="9">
        <v>1</v>
      </c>
      <c r="R21" s="9">
        <f>(10*3)/100</f>
        <v>0.3</v>
      </c>
      <c r="S21" s="9">
        <f t="shared" si="0"/>
        <v>2943.99</v>
      </c>
    </row>
    <row r="22" spans="1:19" x14ac:dyDescent="0.2">
      <c r="J22" s="8" t="s">
        <v>51</v>
      </c>
      <c r="K22" s="8" t="s">
        <v>147</v>
      </c>
      <c r="L22" s="8">
        <v>0</v>
      </c>
      <c r="M22" s="8">
        <v>0</v>
      </c>
      <c r="N22" s="8" t="s">
        <v>55</v>
      </c>
      <c r="O22" s="8">
        <f>2*S26+10*S27+2*S28+1*S29</f>
        <v>2699.75</v>
      </c>
      <c r="P22" s="8">
        <v>1</v>
      </c>
      <c r="Q22" s="8">
        <v>100</v>
      </c>
      <c r="R22" s="8">
        <v>0</v>
      </c>
      <c r="S22" s="8">
        <f t="shared" si="0"/>
        <v>27</v>
      </c>
    </row>
    <row r="23" spans="1:19" x14ac:dyDescent="0.2">
      <c r="J23" s="8" t="s">
        <v>52</v>
      </c>
      <c r="K23" s="8" t="s">
        <v>148</v>
      </c>
      <c r="L23" s="8">
        <v>0</v>
      </c>
      <c r="M23" s="8">
        <v>0</v>
      </c>
      <c r="N23" s="8" t="s">
        <v>77</v>
      </c>
      <c r="O23" s="8">
        <f>2*S30+10*S31+2*S32+1*S33</f>
        <v>12339.75</v>
      </c>
      <c r="P23" s="8">
        <v>1</v>
      </c>
      <c r="Q23" s="8">
        <v>100</v>
      </c>
      <c r="R23" s="8">
        <v>0</v>
      </c>
      <c r="S23" s="8">
        <f t="shared" si="0"/>
        <v>123.4</v>
      </c>
    </row>
    <row r="24" spans="1:19" x14ac:dyDescent="0.2">
      <c r="J24" s="8" t="s">
        <v>102</v>
      </c>
      <c r="K24" s="8" t="s">
        <v>149</v>
      </c>
      <c r="L24" s="8">
        <v>0</v>
      </c>
      <c r="M24" s="8">
        <v>0</v>
      </c>
      <c r="N24" s="8" t="s">
        <v>142</v>
      </c>
      <c r="O24" s="8">
        <f>2*S34+10*S35+2*S36+1*S37</f>
        <v>43176.49</v>
      </c>
      <c r="P24" s="8">
        <v>1</v>
      </c>
      <c r="Q24" s="8">
        <v>100</v>
      </c>
      <c r="R24" s="8">
        <v>0</v>
      </c>
      <c r="S24" s="8">
        <f>ROUND((L24*B$8+(M24/1000)*H$14+O24)/Q24,2)</f>
        <v>431.76</v>
      </c>
    </row>
    <row r="25" spans="1:19" x14ac:dyDescent="0.2">
      <c r="J25" s="8" t="s">
        <v>53</v>
      </c>
      <c r="K25" s="8"/>
      <c r="L25" s="8">
        <v>0</v>
      </c>
      <c r="M25" s="8">
        <v>0</v>
      </c>
      <c r="N25" s="8"/>
      <c r="O25" s="8"/>
      <c r="P25" s="8"/>
      <c r="Q25" s="8"/>
      <c r="R25" s="8">
        <v>0</v>
      </c>
      <c r="S25" s="8" t="e">
        <f t="shared" si="0"/>
        <v>#DIV/0!</v>
      </c>
    </row>
    <row r="26" spans="1:19" x14ac:dyDescent="0.2">
      <c r="J26" s="9" t="s">
        <v>56</v>
      </c>
      <c r="K26" s="9" t="s">
        <v>54</v>
      </c>
      <c r="L26" s="9">
        <v>2.25</v>
      </c>
      <c r="M26" s="9">
        <v>0</v>
      </c>
      <c r="N26" s="9" t="s">
        <v>60</v>
      </c>
      <c r="O26" s="9">
        <f>5.5*H11</f>
        <v>220</v>
      </c>
      <c r="P26" s="9">
        <v>1</v>
      </c>
      <c r="Q26" s="9">
        <v>1</v>
      </c>
      <c r="R26" s="9">
        <v>0</v>
      </c>
      <c r="S26" s="9">
        <f>ROUND((L26*B$8+(M26/1000)*H$14+O26)/Q26,2)</f>
        <v>222.25</v>
      </c>
    </row>
    <row r="27" spans="1:19" x14ac:dyDescent="0.2">
      <c r="J27" s="9" t="s">
        <v>57</v>
      </c>
      <c r="K27" s="9" t="s">
        <v>54</v>
      </c>
      <c r="L27" s="9">
        <v>0.5</v>
      </c>
      <c r="M27" s="9">
        <v>0</v>
      </c>
      <c r="N27" s="9" t="s">
        <v>61</v>
      </c>
      <c r="O27" s="9">
        <f>3*H11</f>
        <v>120</v>
      </c>
      <c r="P27" s="9">
        <v>2</v>
      </c>
      <c r="Q27" s="9">
        <v>2</v>
      </c>
      <c r="R27" s="9">
        <v>0</v>
      </c>
      <c r="S27" s="9">
        <f t="shared" si="0"/>
        <v>60.25</v>
      </c>
    </row>
    <row r="28" spans="1:19" x14ac:dyDescent="0.2">
      <c r="J28" s="9" t="s">
        <v>58</v>
      </c>
      <c r="K28" s="9" t="s">
        <v>54</v>
      </c>
      <c r="L28" s="9">
        <v>3.5</v>
      </c>
      <c r="M28" s="9">
        <v>0</v>
      </c>
      <c r="N28" s="9" t="s">
        <v>62</v>
      </c>
      <c r="O28" s="9">
        <f>17.5*H11</f>
        <v>700</v>
      </c>
      <c r="P28" s="9">
        <v>2</v>
      </c>
      <c r="Q28" s="9">
        <v>2</v>
      </c>
      <c r="R28" s="9">
        <v>0</v>
      </c>
      <c r="S28" s="9">
        <f t="shared" si="0"/>
        <v>351.75</v>
      </c>
    </row>
    <row r="29" spans="1:19" x14ac:dyDescent="0.2">
      <c r="J29" s="9" t="s">
        <v>59</v>
      </c>
      <c r="K29" s="9" t="s">
        <v>54</v>
      </c>
      <c r="L29" s="9">
        <v>9.25</v>
      </c>
      <c r="M29" s="9">
        <v>0</v>
      </c>
      <c r="N29" s="9" t="s">
        <v>63</v>
      </c>
      <c r="O29" s="9">
        <f>23.5*H11</f>
        <v>940</v>
      </c>
      <c r="P29" s="9">
        <v>1</v>
      </c>
      <c r="Q29" s="9">
        <v>1</v>
      </c>
      <c r="R29" s="9">
        <v>0</v>
      </c>
      <c r="S29" s="9">
        <f t="shared" si="0"/>
        <v>949.25</v>
      </c>
    </row>
    <row r="30" spans="1:19" x14ac:dyDescent="0.2">
      <c r="J30" s="9" t="s">
        <v>64</v>
      </c>
      <c r="K30" s="9" t="s">
        <v>54</v>
      </c>
      <c r="L30" s="9">
        <v>5.25</v>
      </c>
      <c r="M30" s="9">
        <v>0</v>
      </c>
      <c r="N30" s="9" t="s">
        <v>68</v>
      </c>
      <c r="O30" s="9">
        <f>12.5*H11</f>
        <v>500</v>
      </c>
      <c r="P30" s="9">
        <v>1</v>
      </c>
      <c r="Q30" s="9">
        <v>1</v>
      </c>
      <c r="R30" s="9">
        <v>0</v>
      </c>
      <c r="S30" s="9">
        <f t="shared" si="0"/>
        <v>505.25</v>
      </c>
    </row>
    <row r="31" spans="1:19" x14ac:dyDescent="0.2">
      <c r="J31" s="9" t="s">
        <v>65</v>
      </c>
      <c r="K31" s="9" t="s">
        <v>54</v>
      </c>
      <c r="L31" s="9">
        <v>3.5</v>
      </c>
      <c r="M31" s="9">
        <v>0</v>
      </c>
      <c r="N31" s="9" t="s">
        <v>69</v>
      </c>
      <c r="O31" s="9">
        <f>11.5*H11</f>
        <v>460</v>
      </c>
      <c r="P31" s="9">
        <v>1</v>
      </c>
      <c r="Q31" s="9">
        <v>1</v>
      </c>
      <c r="R31" s="9">
        <v>0</v>
      </c>
      <c r="S31" s="9">
        <f t="shared" si="0"/>
        <v>463.5</v>
      </c>
    </row>
    <row r="32" spans="1:19" x14ac:dyDescent="0.2">
      <c r="J32" s="9" t="s">
        <v>66</v>
      </c>
      <c r="K32" s="9" t="s">
        <v>54</v>
      </c>
      <c r="L32" s="9">
        <v>25.5</v>
      </c>
      <c r="M32" s="9">
        <v>0</v>
      </c>
      <c r="N32" s="9" t="s">
        <v>70</v>
      </c>
      <c r="O32" s="9">
        <f>97.5*H11</f>
        <v>3900</v>
      </c>
      <c r="P32" s="9">
        <v>2</v>
      </c>
      <c r="Q32" s="9">
        <v>2</v>
      </c>
      <c r="R32" s="9">
        <v>0</v>
      </c>
      <c r="S32" s="9">
        <f t="shared" si="0"/>
        <v>1962.75</v>
      </c>
    </row>
    <row r="33" spans="10:19" x14ac:dyDescent="0.2">
      <c r="J33" s="9" t="s">
        <v>67</v>
      </c>
      <c r="K33" s="9" t="s">
        <v>54</v>
      </c>
      <c r="L33" s="9">
        <v>28.75</v>
      </c>
      <c r="M33" s="9">
        <v>0</v>
      </c>
      <c r="N33" s="9" t="s">
        <v>71</v>
      </c>
      <c r="O33" s="9">
        <f>68.5*H11</f>
        <v>2740</v>
      </c>
      <c r="P33" s="9">
        <v>1</v>
      </c>
      <c r="Q33" s="9">
        <v>1</v>
      </c>
      <c r="R33" s="9">
        <v>0</v>
      </c>
      <c r="S33" s="9">
        <f t="shared" si="0"/>
        <v>2768.75</v>
      </c>
    </row>
    <row r="34" spans="10:19" x14ac:dyDescent="0.2">
      <c r="J34" s="9" t="s">
        <v>72</v>
      </c>
      <c r="K34" s="9" t="s">
        <v>54</v>
      </c>
      <c r="L34" s="9">
        <v>41.5</v>
      </c>
      <c r="M34" s="9">
        <v>0</v>
      </c>
      <c r="N34" s="9" t="s">
        <v>75</v>
      </c>
      <c r="O34" s="9">
        <f>87*H11+2*S17</f>
        <v>3599.12</v>
      </c>
      <c r="P34" s="9">
        <v>1</v>
      </c>
      <c r="Q34" s="9">
        <v>1</v>
      </c>
      <c r="R34" s="9">
        <v>0</v>
      </c>
      <c r="S34" s="9">
        <f t="shared" si="0"/>
        <v>3640.62</v>
      </c>
    </row>
    <row r="35" spans="10:19" x14ac:dyDescent="0.2">
      <c r="J35" s="9" t="s">
        <v>103</v>
      </c>
      <c r="K35" s="9" t="s">
        <v>54</v>
      </c>
      <c r="L35" s="9">
        <v>9</v>
      </c>
      <c r="M35" s="9">
        <f>(155*0.5)/0.75</f>
        <v>103.33333333333333</v>
      </c>
      <c r="N35" s="9" t="s">
        <v>96</v>
      </c>
      <c r="O35" s="9">
        <f>31.5*H11+8*H13</f>
        <v>1580</v>
      </c>
      <c r="P35" s="9">
        <v>1</v>
      </c>
      <c r="Q35" s="9">
        <v>1</v>
      </c>
      <c r="R35" s="9">
        <f>(0.5*3)/100</f>
        <v>1.4999999999999999E-2</v>
      </c>
      <c r="S35" s="9">
        <f>ROUND((L35*B$8+(M35/1000)*H$14+O35)/Q35,2)</f>
        <v>1592.1</v>
      </c>
    </row>
    <row r="36" spans="10:19" x14ac:dyDescent="0.2">
      <c r="J36" s="9" t="s">
        <v>104</v>
      </c>
      <c r="K36" s="9" t="s">
        <v>54</v>
      </c>
      <c r="L36" s="9">
        <v>67.5</v>
      </c>
      <c r="M36" s="9">
        <f>(155*2)/0.75</f>
        <v>413.33333333333331</v>
      </c>
      <c r="N36" s="9" t="s">
        <v>97</v>
      </c>
      <c r="O36" s="9">
        <f>257.5*H11+16*H13</f>
        <v>10940</v>
      </c>
      <c r="P36" s="9">
        <v>2</v>
      </c>
      <c r="Q36" s="9">
        <v>2</v>
      </c>
      <c r="R36" s="9">
        <f>(2*3)/100</f>
        <v>0.06</v>
      </c>
      <c r="S36" s="9">
        <f t="shared" si="0"/>
        <v>5509.95</v>
      </c>
    </row>
    <row r="37" spans="10:19" x14ac:dyDescent="0.2">
      <c r="J37" s="9" t="s">
        <v>105</v>
      </c>
      <c r="K37" s="9" t="s">
        <v>54</v>
      </c>
      <c r="L37" s="9">
        <v>130.75</v>
      </c>
      <c r="M37" s="9">
        <f>(155*2)/0.75</f>
        <v>413.33333333333331</v>
      </c>
      <c r="N37" s="9" t="s">
        <v>98</v>
      </c>
      <c r="O37" s="9">
        <f>158.5*H11+32*H13+20*S17</f>
        <v>8811.2000000000007</v>
      </c>
      <c r="P37" s="9">
        <v>1</v>
      </c>
      <c r="Q37" s="9">
        <v>1</v>
      </c>
      <c r="R37" s="9">
        <f>(2*3)/100</f>
        <v>0.06</v>
      </c>
      <c r="S37" s="9">
        <f t="shared" si="0"/>
        <v>8954.35</v>
      </c>
    </row>
    <row r="38" spans="10:19" x14ac:dyDescent="0.2">
      <c r="J38" s="8" t="s">
        <v>84</v>
      </c>
      <c r="K38" s="8" t="s">
        <v>150</v>
      </c>
      <c r="L38" s="8">
        <v>0</v>
      </c>
      <c r="M38" s="8">
        <v>0</v>
      </c>
      <c r="N38" s="8" t="s">
        <v>99</v>
      </c>
      <c r="O38" s="8">
        <f>1*S46+3*S26+6*S27</f>
        <v>2095</v>
      </c>
      <c r="P38" s="8">
        <v>1</v>
      </c>
      <c r="Q38" s="8">
        <v>100</v>
      </c>
      <c r="R38" s="8"/>
      <c r="S38" s="8">
        <f t="shared" si="0"/>
        <v>20.95</v>
      </c>
    </row>
    <row r="39" spans="10:19" x14ac:dyDescent="0.2">
      <c r="J39" s="8" t="s">
        <v>78</v>
      </c>
      <c r="K39" s="8" t="s">
        <v>151</v>
      </c>
      <c r="L39" s="8">
        <v>0</v>
      </c>
      <c r="M39" s="8">
        <v>0</v>
      </c>
      <c r="N39" s="8" t="s">
        <v>100</v>
      </c>
      <c r="O39" s="8">
        <f>1*S47+3*S30+6*S31</f>
        <v>6170.25</v>
      </c>
      <c r="P39" s="8">
        <v>1</v>
      </c>
      <c r="Q39" s="8">
        <v>100</v>
      </c>
      <c r="R39" s="8"/>
      <c r="S39" s="8">
        <f t="shared" si="0"/>
        <v>61.7</v>
      </c>
    </row>
    <row r="40" spans="10:19" x14ac:dyDescent="0.2">
      <c r="J40" s="8" t="s">
        <v>79</v>
      </c>
      <c r="K40" s="8" t="s">
        <v>152</v>
      </c>
      <c r="L40" s="8">
        <v>0</v>
      </c>
      <c r="M40" s="8">
        <v>0</v>
      </c>
      <c r="N40" s="8" t="s">
        <v>101</v>
      </c>
      <c r="O40" s="8">
        <f>1*S48+3*S30+6*S35</f>
        <v>25073.25</v>
      </c>
      <c r="P40" s="8">
        <v>1</v>
      </c>
      <c r="Q40" s="8">
        <v>100</v>
      </c>
      <c r="R40" s="8"/>
      <c r="S40" s="8">
        <f t="shared" si="0"/>
        <v>250.73</v>
      </c>
    </row>
    <row r="41" spans="10:19" x14ac:dyDescent="0.2">
      <c r="J41" s="8" t="s">
        <v>80</v>
      </c>
      <c r="K41" s="8"/>
      <c r="L41" s="8"/>
      <c r="M41" s="8"/>
      <c r="N41" s="8"/>
      <c r="O41" s="8"/>
      <c r="P41" s="8"/>
      <c r="Q41" s="8"/>
      <c r="R41" s="8"/>
      <c r="S41" s="8" t="e">
        <f t="shared" si="0"/>
        <v>#DIV/0!</v>
      </c>
    </row>
    <row r="42" spans="10:19" x14ac:dyDescent="0.2">
      <c r="J42" s="8" t="s">
        <v>87</v>
      </c>
      <c r="K42" s="8" t="s">
        <v>107</v>
      </c>
      <c r="L42" s="8">
        <v>0</v>
      </c>
      <c r="M42" s="8">
        <v>0</v>
      </c>
      <c r="N42" s="8" t="s">
        <v>108</v>
      </c>
      <c r="O42" s="8">
        <f>1*S49+2*S50</f>
        <v>2857</v>
      </c>
      <c r="P42" s="8">
        <v>1</v>
      </c>
      <c r="Q42" s="8">
        <v>100</v>
      </c>
      <c r="R42" s="8"/>
      <c r="S42" s="8">
        <f t="shared" si="0"/>
        <v>28.57</v>
      </c>
    </row>
    <row r="43" spans="10:19" x14ac:dyDescent="0.2">
      <c r="J43" s="8" t="s">
        <v>88</v>
      </c>
      <c r="K43" s="8" t="s">
        <v>109</v>
      </c>
      <c r="L43" s="8">
        <v>0</v>
      </c>
      <c r="M43" s="8">
        <v>0</v>
      </c>
      <c r="N43" s="8" t="s">
        <v>111</v>
      </c>
      <c r="O43" s="8">
        <f>21*S51+25*S52</f>
        <v>72433.75</v>
      </c>
      <c r="P43" s="8">
        <v>1</v>
      </c>
      <c r="Q43" s="8">
        <v>100</v>
      </c>
      <c r="R43" s="8"/>
      <c r="S43" s="8">
        <f t="shared" si="0"/>
        <v>724.34</v>
      </c>
    </row>
    <row r="44" spans="10:19" x14ac:dyDescent="0.2">
      <c r="J44" s="8" t="s">
        <v>106</v>
      </c>
      <c r="K44" s="8" t="s">
        <v>112</v>
      </c>
      <c r="L44" s="8">
        <v>0</v>
      </c>
      <c r="M44" s="8">
        <v>0</v>
      </c>
      <c r="N44" s="8" t="s">
        <v>114</v>
      </c>
      <c r="O44" s="8">
        <f>2*S53+10*S54+2*S55</f>
        <v>4953</v>
      </c>
      <c r="P44" s="8">
        <v>1</v>
      </c>
      <c r="Q44" s="8">
        <v>100</v>
      </c>
      <c r="R44" s="8"/>
      <c r="S44" s="8">
        <f t="shared" si="0"/>
        <v>49.53</v>
      </c>
    </row>
    <row r="45" spans="10:19" x14ac:dyDescent="0.2">
      <c r="J45" s="8" t="s">
        <v>81</v>
      </c>
      <c r="K45" s="8" t="s">
        <v>115</v>
      </c>
      <c r="L45" s="8">
        <v>0</v>
      </c>
      <c r="M45" s="8">
        <v>0</v>
      </c>
      <c r="N45" s="8" t="s">
        <v>116</v>
      </c>
      <c r="O45" s="8">
        <f>2*S56</f>
        <v>2216.5</v>
      </c>
      <c r="P45" s="8">
        <v>1</v>
      </c>
      <c r="Q45" s="8">
        <v>100</v>
      </c>
      <c r="R45" s="8"/>
      <c r="S45" s="8">
        <f t="shared" si="0"/>
        <v>22.17</v>
      </c>
    </row>
    <row r="46" spans="10:19" x14ac:dyDescent="0.2">
      <c r="J46" s="9" t="s">
        <v>82</v>
      </c>
      <c r="K46" s="9" t="s">
        <v>54</v>
      </c>
      <c r="L46" s="9">
        <v>6.75</v>
      </c>
      <c r="M46" s="9">
        <v>0</v>
      </c>
      <c r="N46" s="9" t="s">
        <v>83</v>
      </c>
      <c r="O46" s="9">
        <f>26.5*H11</f>
        <v>1060</v>
      </c>
      <c r="P46" s="9">
        <v>1</v>
      </c>
      <c r="Q46" s="9">
        <v>1</v>
      </c>
      <c r="R46" s="9">
        <v>0</v>
      </c>
      <c r="S46" s="9">
        <f t="shared" si="0"/>
        <v>1066.75</v>
      </c>
    </row>
    <row r="47" spans="10:19" x14ac:dyDescent="0.2">
      <c r="J47" s="9" t="s">
        <v>85</v>
      </c>
      <c r="K47" s="9" t="s">
        <v>54</v>
      </c>
      <c r="L47" s="9">
        <v>13.5</v>
      </c>
      <c r="M47" s="9">
        <v>0</v>
      </c>
      <c r="N47" s="9" t="s">
        <v>123</v>
      </c>
      <c r="O47" s="9">
        <f>44*H11+2*H15</f>
        <v>1860</v>
      </c>
      <c r="P47" s="9">
        <v>1</v>
      </c>
      <c r="Q47" s="9">
        <v>1</v>
      </c>
      <c r="R47" s="9">
        <v>0</v>
      </c>
      <c r="S47" s="9">
        <f t="shared" si="0"/>
        <v>1873.5</v>
      </c>
    </row>
    <row r="48" spans="10:19" x14ac:dyDescent="0.2">
      <c r="J48" s="9" t="s">
        <v>86</v>
      </c>
      <c r="K48" s="9" t="s">
        <v>54</v>
      </c>
      <c r="L48" s="9">
        <v>302.5</v>
      </c>
      <c r="M48" s="9">
        <v>0</v>
      </c>
      <c r="N48" s="9" t="s">
        <v>124</v>
      </c>
      <c r="O48" s="9">
        <f>278*H11+40*S17+4*H15</f>
        <v>13702.4</v>
      </c>
      <c r="P48" s="9">
        <v>1</v>
      </c>
      <c r="Q48" s="9">
        <v>1</v>
      </c>
      <c r="R48" s="9">
        <v>0</v>
      </c>
      <c r="S48" s="9">
        <f t="shared" si="0"/>
        <v>14004.9</v>
      </c>
    </row>
    <row r="49" spans="10:19" x14ac:dyDescent="0.2">
      <c r="J49" s="9" t="s">
        <v>125</v>
      </c>
      <c r="K49" s="9" t="s">
        <v>54</v>
      </c>
      <c r="L49" s="9">
        <v>3</v>
      </c>
      <c r="M49" s="9">
        <v>0</v>
      </c>
      <c r="N49" s="9" t="s">
        <v>126</v>
      </c>
      <c r="O49" s="9">
        <f>9*H11</f>
        <v>360</v>
      </c>
      <c r="P49" s="9">
        <v>1</v>
      </c>
      <c r="Q49" s="9">
        <v>1</v>
      </c>
      <c r="R49" s="9">
        <v>0</v>
      </c>
      <c r="S49" s="9">
        <f t="shared" si="0"/>
        <v>363</v>
      </c>
    </row>
    <row r="50" spans="10:19" x14ac:dyDescent="0.2">
      <c r="J50" s="9" t="s">
        <v>127</v>
      </c>
      <c r="K50" s="9" t="s">
        <v>54</v>
      </c>
      <c r="L50" s="9">
        <v>7</v>
      </c>
      <c r="M50" s="9">
        <v>0</v>
      </c>
      <c r="N50" s="9" t="s">
        <v>128</v>
      </c>
      <c r="O50" s="9">
        <f>31*H11</f>
        <v>1240</v>
      </c>
      <c r="P50" s="9">
        <v>1</v>
      </c>
      <c r="Q50" s="9">
        <v>1</v>
      </c>
      <c r="R50" s="9">
        <v>0</v>
      </c>
      <c r="S50" s="9">
        <f t="shared" si="0"/>
        <v>1247</v>
      </c>
    </row>
    <row r="51" spans="10:19" x14ac:dyDescent="0.2">
      <c r="J51" s="9" t="s">
        <v>129</v>
      </c>
      <c r="K51" s="9" t="s">
        <v>54</v>
      </c>
      <c r="L51" s="9">
        <v>28.75</v>
      </c>
      <c r="M51" s="9">
        <v>0</v>
      </c>
      <c r="N51" s="9" t="s">
        <v>130</v>
      </c>
      <c r="O51" s="9">
        <f>42.5*H11+5*H15</f>
        <v>1950</v>
      </c>
      <c r="P51" s="9">
        <v>1</v>
      </c>
      <c r="Q51" s="9">
        <v>1</v>
      </c>
      <c r="R51" s="9">
        <v>0</v>
      </c>
      <c r="S51" s="9">
        <f t="shared" si="0"/>
        <v>1978.75</v>
      </c>
    </row>
    <row r="52" spans="10:19" x14ac:dyDescent="0.2">
      <c r="J52" s="9" t="s">
        <v>131</v>
      </c>
      <c r="K52" s="9" t="s">
        <v>110</v>
      </c>
      <c r="L52" s="9">
        <v>10</v>
      </c>
      <c r="M52" s="9">
        <v>0</v>
      </c>
      <c r="N52" s="9" t="s">
        <v>132</v>
      </c>
      <c r="O52" s="9">
        <f>5*S19+2*H11</f>
        <v>1225.2</v>
      </c>
      <c r="P52" s="9">
        <v>1</v>
      </c>
      <c r="Q52" s="9">
        <v>1</v>
      </c>
      <c r="R52" s="9">
        <v>0</v>
      </c>
      <c r="S52" s="9">
        <f t="shared" si="0"/>
        <v>1235.2</v>
      </c>
    </row>
    <row r="53" spans="10:19" x14ac:dyDescent="0.2">
      <c r="J53" s="9" t="s">
        <v>133</v>
      </c>
      <c r="K53" s="9" t="s">
        <v>54</v>
      </c>
      <c r="L53" s="9">
        <v>21.25</v>
      </c>
      <c r="M53" s="9">
        <v>0</v>
      </c>
      <c r="N53" s="9" t="s">
        <v>130</v>
      </c>
      <c r="O53" s="9">
        <f>42.5*H11+5*H15</f>
        <v>1950</v>
      </c>
      <c r="P53" s="9">
        <v>1</v>
      </c>
      <c r="Q53" s="9">
        <v>1</v>
      </c>
      <c r="R53" s="9">
        <v>0</v>
      </c>
      <c r="S53" s="9">
        <f t="shared" si="0"/>
        <v>1971.25</v>
      </c>
    </row>
    <row r="54" spans="10:19" x14ac:dyDescent="0.2">
      <c r="J54" s="9" t="s">
        <v>134</v>
      </c>
      <c r="K54" s="9" t="s">
        <v>54</v>
      </c>
      <c r="L54" s="9">
        <v>0.5</v>
      </c>
      <c r="M54" s="9">
        <v>0</v>
      </c>
      <c r="N54" s="9" t="s">
        <v>113</v>
      </c>
      <c r="O54" s="9">
        <f>1*H11</f>
        <v>40</v>
      </c>
      <c r="P54" s="9">
        <v>1</v>
      </c>
      <c r="Q54" s="9">
        <v>1</v>
      </c>
      <c r="R54" s="9">
        <v>0</v>
      </c>
      <c r="S54" s="9">
        <f t="shared" si="0"/>
        <v>40.5</v>
      </c>
    </row>
    <row r="55" spans="10:19" x14ac:dyDescent="0.2">
      <c r="J55" s="9" t="s">
        <v>135</v>
      </c>
      <c r="K55" s="9" t="s">
        <v>54</v>
      </c>
      <c r="L55" s="9">
        <v>5.5</v>
      </c>
      <c r="M55" s="9">
        <v>0</v>
      </c>
      <c r="N55" s="9" t="s">
        <v>136</v>
      </c>
      <c r="O55" s="9">
        <f>15*H11</f>
        <v>600</v>
      </c>
      <c r="P55" s="9">
        <v>2</v>
      </c>
      <c r="Q55" s="9">
        <v>2</v>
      </c>
      <c r="R55" s="9">
        <v>0</v>
      </c>
      <c r="S55" s="9">
        <f t="shared" si="0"/>
        <v>302.75</v>
      </c>
    </row>
    <row r="56" spans="10:19" x14ac:dyDescent="0.2">
      <c r="J56" s="9" t="s">
        <v>137</v>
      </c>
      <c r="K56" s="9" t="s">
        <v>54</v>
      </c>
      <c r="L56" s="9">
        <v>8.25</v>
      </c>
      <c r="M56" s="9">
        <v>0</v>
      </c>
      <c r="N56" s="9" t="s">
        <v>138</v>
      </c>
      <c r="O56" s="9">
        <f>27.5*H11</f>
        <v>1100</v>
      </c>
      <c r="P56" s="9">
        <v>1</v>
      </c>
      <c r="Q56" s="9">
        <v>1</v>
      </c>
      <c r="R56" s="9">
        <v>0</v>
      </c>
      <c r="S56" s="9">
        <f>ROUND((L56*B$8+(M56/1000)*H$14+O56)/Q56,2)</f>
        <v>1108.25</v>
      </c>
    </row>
    <row r="57" spans="10:19" x14ac:dyDescent="0.2">
      <c r="J57" s="8" t="s">
        <v>153</v>
      </c>
      <c r="K57" s="8" t="s">
        <v>167</v>
      </c>
      <c r="L57" s="8">
        <v>0</v>
      </c>
      <c r="M57" s="8"/>
      <c r="N57" s="8" t="s">
        <v>164</v>
      </c>
      <c r="O57" s="8">
        <f>1*S58+50*S59+50*S60</f>
        <v>234730.40000000002</v>
      </c>
      <c r="P57" s="8">
        <v>1</v>
      </c>
      <c r="Q57" s="8">
        <v>100</v>
      </c>
      <c r="R57" s="8"/>
      <c r="S57" s="8">
        <f>ROUND((L57*B$8+(M57/1000)*H$14+O57)/Q57,2)</f>
        <v>2347.3000000000002</v>
      </c>
    </row>
    <row r="58" spans="10:19" x14ac:dyDescent="0.2">
      <c r="J58" s="9" t="s">
        <v>154</v>
      </c>
      <c r="K58" s="9" t="s">
        <v>54</v>
      </c>
      <c r="L58" s="9">
        <v>450</v>
      </c>
      <c r="M58" s="9">
        <v>0</v>
      </c>
      <c r="N58" s="9" t="s">
        <v>157</v>
      </c>
      <c r="O58" s="9">
        <f>405*H11+45*H15+90*S17</f>
        <v>23810.400000000001</v>
      </c>
      <c r="P58" s="9">
        <v>1</v>
      </c>
      <c r="Q58" s="9">
        <v>1</v>
      </c>
      <c r="R58" s="9">
        <v>0</v>
      </c>
      <c r="S58" s="9">
        <f>ROUND((L58*B$8+(M58/1000)*H$14+O58)/Q58,2)</f>
        <v>24260.400000000001</v>
      </c>
    </row>
    <row r="59" spans="10:19" x14ac:dyDescent="0.2">
      <c r="J59" s="9" t="s">
        <v>155</v>
      </c>
      <c r="K59" s="9" t="s">
        <v>54</v>
      </c>
      <c r="L59" s="9">
        <v>19.5</v>
      </c>
      <c r="M59" s="9">
        <v>0</v>
      </c>
      <c r="N59" s="9" t="s">
        <v>161</v>
      </c>
      <c r="O59" s="9">
        <f>14*H11+4*S17+1*S61</f>
        <v>2392.5699999999997</v>
      </c>
      <c r="P59" s="9">
        <v>1</v>
      </c>
      <c r="Q59" s="9">
        <v>1</v>
      </c>
      <c r="R59" s="9">
        <v>0</v>
      </c>
      <c r="S59" s="9">
        <f t="shared" ref="S59:S62" si="2">ROUND((L59*B$8+(M59/1000)*H$14+O59)/Q59,2)</f>
        <v>2412.0700000000002</v>
      </c>
    </row>
    <row r="60" spans="10:19" x14ac:dyDescent="0.2">
      <c r="J60" s="9" t="s">
        <v>156</v>
      </c>
      <c r="K60" s="9" t="s">
        <v>54</v>
      </c>
      <c r="L60" s="9">
        <v>3</v>
      </c>
      <c r="M60" s="9">
        <v>0</v>
      </c>
      <c r="N60" s="9" t="s">
        <v>162</v>
      </c>
      <c r="O60" s="9">
        <f>5*H11+1*S61</f>
        <v>1794.33</v>
      </c>
      <c r="P60" s="9">
        <v>1</v>
      </c>
      <c r="Q60" s="9">
        <v>1</v>
      </c>
      <c r="R60" s="9">
        <v>0</v>
      </c>
      <c r="S60" s="9">
        <f t="shared" si="2"/>
        <v>1797.33</v>
      </c>
    </row>
    <row r="61" spans="10:19" x14ac:dyDescent="0.2">
      <c r="J61" s="9" t="s">
        <v>158</v>
      </c>
      <c r="K61" s="9" t="s">
        <v>54</v>
      </c>
      <c r="L61" s="9">
        <v>3.75</v>
      </c>
      <c r="M61" s="9">
        <v>0</v>
      </c>
      <c r="N61" s="9" t="s">
        <v>160</v>
      </c>
      <c r="O61" s="9">
        <f>1*H15+7.5*H11+2*S19+1*S20</f>
        <v>1590.58</v>
      </c>
      <c r="P61" s="9">
        <v>1</v>
      </c>
      <c r="Q61" s="9">
        <v>1</v>
      </c>
      <c r="R61" s="9">
        <v>0</v>
      </c>
      <c r="S61" s="9">
        <f t="shared" si="2"/>
        <v>1594.33</v>
      </c>
    </row>
    <row r="62" spans="10:19" x14ac:dyDescent="0.2">
      <c r="S62" s="9" t="e">
        <f t="shared" si="2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wannianDML</dc:creator>
  <cp:lastModifiedBy>12 白</cp:lastModifiedBy>
  <dcterms:created xsi:type="dcterms:W3CDTF">2015-06-05T18:17:20Z</dcterms:created>
  <dcterms:modified xsi:type="dcterms:W3CDTF">2024-04-05T12:10:09Z</dcterms:modified>
</cp:coreProperties>
</file>