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yal\Downloads\"/>
    </mc:Choice>
  </mc:AlternateContent>
  <bookViews>
    <workbookView xWindow="0" yWindow="0" windowWidth="20490" windowHeight="7530" tabRatio="629"/>
  </bookViews>
  <sheets>
    <sheet name="Salary Sheet" sheetId="6" r:id="rId1"/>
    <sheet name="Tax Calculations" sheetId="5" r:id="rId2"/>
    <sheet name="Salary Slip" sheetId="7" r:id="rId3"/>
    <sheet name="Salary Transfer Letter" sheetId="8" r:id="rId4"/>
    <sheet name="Cheque Print" sheetId="11" r:id="rId5"/>
    <sheet name="hbl" sheetId="10" state="hidden" r:id="rId6"/>
    <sheet name="Tax Calc" sheetId="3" state="hidden" r:id="rId7"/>
  </sheets>
  <externalReferences>
    <externalReference r:id="rId8"/>
  </externalReferences>
  <definedNames>
    <definedName name="_xlnm._FilterDatabase" localSheetId="0" hidden="1">'Salary Sheet'!$A$2:$BB$47</definedName>
    <definedName name="_xlnm._FilterDatabase" localSheetId="1" hidden="1">'Tax Calculations'!$B$4:$AS$39</definedName>
    <definedName name="AMT">#REF!</definedName>
    <definedName name="BR_NAME">#REF!</definedName>
    <definedName name="BRNM">#REF!</definedName>
    <definedName name="CD">#REF!</definedName>
    <definedName name="COD">#REF!</definedName>
    <definedName name="CODE">#REF!</definedName>
    <definedName name="CODE1">#REF!</definedName>
    <definedName name="CODNAM">#REF!</definedName>
    <definedName name="Karachi" localSheetId="4">#REF!</definedName>
    <definedName name="Karachi" localSheetId="5">#REF!</definedName>
    <definedName name="Karachi">#REF!</definedName>
    <definedName name="KeyCustom1">[1]January!$S$15</definedName>
    <definedName name="KeyCustom2">[1]January!$W$15</definedName>
    <definedName name="KeyPersonal">[1]January!$K$15</definedName>
    <definedName name="KeySick">[1]January!$O$15</definedName>
    <definedName name="KeyVacation">[1]January!$G$15</definedName>
    <definedName name="NM">#REF!</definedName>
    <definedName name="_xlnm.Print_Area" localSheetId="4">'Cheque Print'!$A$1:$J$10</definedName>
    <definedName name="_xlnm.Print_Area" localSheetId="2">'Salary Slip'!$A$1:$E$48</definedName>
    <definedName name="_xlnm.Print_Area" localSheetId="3">'Salary Transfer Letter'!$A$1:$C$54</definedName>
    <definedName name="_xlnm.Print_Area" localSheetId="6">'Tax Calc'!$A$1:$J$51</definedName>
    <definedName name="RS">#REF!</definedName>
    <definedName name="tax_income">'Tax Calc'!$I$20</definedName>
    <definedName name="tax_lib">'Tax Calc'!$I$23</definedName>
    <definedName name="Treasury" localSheetId="4">#REF!</definedName>
    <definedName name="Treasury" localSheetId="5">#REF!</definedName>
    <definedName name="Treasury">#REF!</definedName>
    <definedName name="TRY" localSheetId="4">#REF!</definedName>
    <definedName name="TRY" localSheetId="5">#REF!</definedName>
    <definedName name="TRY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6" i="6" l="1"/>
  <c r="AM35" i="6" l="1"/>
  <c r="AM36" i="6"/>
  <c r="AM37" i="6"/>
  <c r="AM38" i="6"/>
  <c r="A43" i="8"/>
  <c r="A42" i="8"/>
  <c r="BE25" i="6" l="1"/>
  <c r="AY48" i="6"/>
  <c r="AW48" i="6"/>
  <c r="AV48" i="6"/>
  <c r="AU48" i="6"/>
  <c r="AG39" i="6"/>
  <c r="AR39" i="6" s="1"/>
  <c r="AS39" i="6" s="1"/>
  <c r="Y39" i="6"/>
  <c r="AK39" i="6" s="1"/>
  <c r="Z39" i="6"/>
  <c r="AA39" i="6"/>
  <c r="AJ38" i="6"/>
  <c r="AK38" i="6"/>
  <c r="Y38" i="6"/>
  <c r="Z38" i="6"/>
  <c r="AA38" i="6"/>
  <c r="AG38" i="6"/>
  <c r="AR38" i="6" s="1"/>
  <c r="AS38" i="6" s="1"/>
  <c r="AG37" i="6"/>
  <c r="AR37" i="6" s="1"/>
  <c r="AS37" i="6" s="1"/>
  <c r="Y37" i="6"/>
  <c r="AJ37" i="6" s="1"/>
  <c r="Z37" i="6"/>
  <c r="AA37" i="6"/>
  <c r="Y36" i="6"/>
  <c r="AJ36" i="6" s="1"/>
  <c r="Z36" i="6"/>
  <c r="AA36" i="6"/>
  <c r="AG36" i="6"/>
  <c r="AJ35" i="6"/>
  <c r="AK35" i="6"/>
  <c r="AG35" i="6"/>
  <c r="AR35" i="6" s="1"/>
  <c r="AS35" i="6" s="1"/>
  <c r="Y35" i="6"/>
  <c r="Z35" i="6"/>
  <c r="AA35" i="6"/>
  <c r="Y34" i="6"/>
  <c r="AJ34" i="6" s="1"/>
  <c r="Z34" i="6"/>
  <c r="AA34" i="6"/>
  <c r="AG34" i="6"/>
  <c r="AR34" i="6" s="1"/>
  <c r="AS34" i="6" s="1"/>
  <c r="Y33" i="6"/>
  <c r="AJ33" i="6" s="1"/>
  <c r="Z33" i="6"/>
  <c r="AA33" i="6"/>
  <c r="AG33" i="6"/>
  <c r="AR33" i="6" s="1"/>
  <c r="AS33" i="6" s="1"/>
  <c r="Y32" i="6"/>
  <c r="AK32" i="6" s="1"/>
  <c r="Z32" i="6"/>
  <c r="AA32" i="6"/>
  <c r="AG32" i="6"/>
  <c r="Y31" i="6"/>
  <c r="AK31" i="6" s="1"/>
  <c r="Z31" i="6"/>
  <c r="AA31" i="6"/>
  <c r="AG31" i="6"/>
  <c r="AR31" i="6" s="1"/>
  <c r="AS31" i="6" s="1"/>
  <c r="AJ31" i="6" l="1"/>
  <c r="AM31" i="6" s="1"/>
  <c r="AK37" i="6"/>
  <c r="AK34" i="6"/>
  <c r="AM34" i="6" s="1"/>
  <c r="AJ32" i="6"/>
  <c r="AM32" i="6" s="1"/>
  <c r="AK33" i="6"/>
  <c r="AM33" i="6" s="1"/>
  <c r="AN35" i="6"/>
  <c r="AZ35" i="6" s="1"/>
  <c r="AN36" i="6"/>
  <c r="AN33" i="6"/>
  <c r="AZ33" i="6" s="1"/>
  <c r="AN37" i="6"/>
  <c r="AZ37" i="6" s="1"/>
  <c r="AN34" i="6"/>
  <c r="AZ34" i="6" s="1"/>
  <c r="AJ39" i="6"/>
  <c r="AM39" i="6" s="1"/>
  <c r="AN31" i="6"/>
  <c r="AZ31" i="6" s="1"/>
  <c r="C42" i="8" s="1"/>
  <c r="AN38" i="6"/>
  <c r="AZ38" i="6" s="1"/>
  <c r="AR32" i="6"/>
  <c r="AS32" i="6" s="1"/>
  <c r="A44" i="8"/>
  <c r="A41" i="8"/>
  <c r="A40" i="8"/>
  <c r="AN32" i="6" l="1"/>
  <c r="AZ32" i="6" s="1"/>
  <c r="AN39" i="6"/>
  <c r="AZ39" i="6" s="1"/>
  <c r="AG30" i="6"/>
  <c r="AR30" i="6" s="1"/>
  <c r="Y30" i="6"/>
  <c r="AJ30" i="6" s="1"/>
  <c r="Z30" i="6"/>
  <c r="AA30" i="6"/>
  <c r="AK30" i="6" l="1"/>
  <c r="AN30" i="6"/>
  <c r="AS30" i="6"/>
  <c r="AZ30" i="6" l="1"/>
  <c r="C40" i="8" s="1"/>
  <c r="AM30" i="6"/>
  <c r="A39" i="8"/>
  <c r="AD40" i="6" l="1"/>
  <c r="A38" i="8" l="1"/>
  <c r="A37" i="8"/>
  <c r="A36" i="8"/>
  <c r="A35" i="8"/>
  <c r="A20" i="8" l="1"/>
  <c r="A19" i="8"/>
  <c r="A18" i="8"/>
  <c r="Y7" i="6" l="1"/>
  <c r="AJ7" i="6" s="1"/>
  <c r="Z7" i="6"/>
  <c r="AA7" i="6"/>
  <c r="AG7" i="6"/>
  <c r="AR7" i="6" s="1"/>
  <c r="AD47" i="6"/>
  <c r="AD46" i="6"/>
  <c r="Y46" i="6" s="1"/>
  <c r="P46" i="6"/>
  <c r="AK7" i="6" l="1"/>
  <c r="AG46" i="6"/>
  <c r="AN46" i="6" s="1"/>
  <c r="AZ46" i="6" s="1"/>
  <c r="C37" i="8" s="1"/>
  <c r="AA46" i="6"/>
  <c r="Z46" i="6"/>
  <c r="P7" i="6" l="1"/>
  <c r="M7" i="6"/>
  <c r="AM7" i="6" l="1"/>
  <c r="AN7" i="6"/>
  <c r="AS7" i="6"/>
  <c r="D34" i="8"/>
  <c r="AZ7" i="6" l="1"/>
  <c r="C44" i="8" s="1"/>
  <c r="A34" i="8"/>
  <c r="A33" i="8"/>
  <c r="AG29" i="6"/>
  <c r="Y29" i="6"/>
  <c r="Z29" i="6"/>
  <c r="AA29" i="6"/>
  <c r="P29" i="6"/>
  <c r="AR29" i="6" l="1"/>
  <c r="AS29" i="6" s="1"/>
  <c r="AJ29" i="6"/>
  <c r="AN29" i="6" s="1"/>
  <c r="AK29" i="6"/>
  <c r="AZ29" i="6" l="1"/>
  <c r="C43" i="8" s="1"/>
  <c r="A32" i="8"/>
  <c r="M47" i="6" l="1"/>
  <c r="M40" i="6"/>
  <c r="M28" i="6"/>
  <c r="M27" i="6"/>
  <c r="M26" i="6"/>
  <c r="M25" i="6"/>
  <c r="M24" i="6"/>
  <c r="M23" i="6"/>
  <c r="M22" i="6"/>
  <c r="M21" i="6"/>
  <c r="AG47" i="6" l="1"/>
  <c r="AG40" i="6"/>
  <c r="AR40" i="6" s="1"/>
  <c r="AG28" i="6"/>
  <c r="AR28" i="6" s="1"/>
  <c r="AA47" i="6"/>
  <c r="Z47" i="6"/>
  <c r="Y47" i="6"/>
  <c r="AA40" i="6"/>
  <c r="Z40" i="6"/>
  <c r="Y40" i="6"/>
  <c r="AA28" i="6"/>
  <c r="Z28" i="6"/>
  <c r="Y28" i="6"/>
  <c r="P47" i="6"/>
  <c r="P40" i="6"/>
  <c r="P28" i="6"/>
  <c r="AN40" i="6" l="1"/>
  <c r="AJ28" i="6"/>
  <c r="AK28" i="6"/>
  <c r="AS40" i="6"/>
  <c r="AS47" i="6"/>
  <c r="AN47" i="6"/>
  <c r="AZ47" i="6" s="1"/>
  <c r="C33" i="8" s="1"/>
  <c r="AZ40" i="6" l="1"/>
  <c r="AM28" i="6"/>
  <c r="AN28" i="6"/>
  <c r="AS28" i="6"/>
  <c r="AD45" i="6" l="1"/>
  <c r="AG45" i="6" s="1"/>
  <c r="A31" i="8" l="1"/>
  <c r="A30" i="8"/>
  <c r="A29" i="8"/>
  <c r="A22" i="8"/>
  <c r="A23" i="8"/>
  <c r="A24" i="8"/>
  <c r="A25" i="8"/>
  <c r="A27" i="8"/>
  <c r="A28" i="8"/>
  <c r="A21" i="8"/>
  <c r="B24" i="7" l="1"/>
  <c r="B23" i="7"/>
  <c r="Y45" i="6" l="1"/>
  <c r="Z45" i="6"/>
  <c r="AA45" i="6"/>
  <c r="P45" i="6"/>
  <c r="AN45" i="6" l="1"/>
  <c r="AZ45" i="6" s="1"/>
  <c r="C36" i="8" s="1"/>
  <c r="AG27" i="6" l="1"/>
  <c r="AR27" i="6" s="1"/>
  <c r="Y27" i="6"/>
  <c r="Z27" i="6"/>
  <c r="AA27" i="6"/>
  <c r="Y26" i="6"/>
  <c r="Z26" i="6"/>
  <c r="AA26" i="6"/>
  <c r="AG26" i="6"/>
  <c r="AR26" i="6" s="1"/>
  <c r="P27" i="6"/>
  <c r="P26" i="6"/>
  <c r="AJ27" i="6" l="1"/>
  <c r="AK27" i="6"/>
  <c r="AJ26" i="6"/>
  <c r="AK26" i="6"/>
  <c r="AN27" i="6"/>
  <c r="AS27" i="6"/>
  <c r="AS26" i="6"/>
  <c r="AG4" i="6"/>
  <c r="AR4" i="6" s="1"/>
  <c r="AG5" i="6"/>
  <c r="AR5" i="6" s="1"/>
  <c r="AG6" i="6"/>
  <c r="AR6" i="6" s="1"/>
  <c r="AG8" i="6"/>
  <c r="AR8" i="6" s="1"/>
  <c r="AG9" i="6"/>
  <c r="AR9" i="6" s="1"/>
  <c r="AG10" i="6"/>
  <c r="AR10" i="6" s="1"/>
  <c r="AG11" i="6"/>
  <c r="AR11" i="6" s="1"/>
  <c r="AG12" i="6"/>
  <c r="AR12" i="6" s="1"/>
  <c r="AG13" i="6"/>
  <c r="AR13" i="6" s="1"/>
  <c r="AG14" i="6"/>
  <c r="AR14" i="6" s="1"/>
  <c r="AG15" i="6"/>
  <c r="AR15" i="6" s="1"/>
  <c r="AG16" i="6"/>
  <c r="AR16" i="6" s="1"/>
  <c r="AG17" i="6"/>
  <c r="AR17" i="6" s="1"/>
  <c r="AG18" i="6"/>
  <c r="AR18" i="6" s="1"/>
  <c r="AG19" i="6"/>
  <c r="AR19" i="6" s="1"/>
  <c r="AG20" i="6"/>
  <c r="AR20" i="6" s="1"/>
  <c r="AG21" i="6"/>
  <c r="AR21" i="6" s="1"/>
  <c r="AG22" i="6"/>
  <c r="AR22" i="6" s="1"/>
  <c r="AG23" i="6"/>
  <c r="AR23" i="6" s="1"/>
  <c r="AG24" i="6"/>
  <c r="AR24" i="6" s="1"/>
  <c r="AG25" i="6"/>
  <c r="AR25" i="6" s="1"/>
  <c r="AG3" i="6"/>
  <c r="AR3" i="6" s="1"/>
  <c r="Y4" i="6"/>
  <c r="Z4" i="6"/>
  <c r="AA4" i="6"/>
  <c r="Y5" i="6"/>
  <c r="Z5" i="6"/>
  <c r="AA5" i="6"/>
  <c r="Y6" i="6"/>
  <c r="Z6" i="6"/>
  <c r="AA6" i="6"/>
  <c r="Y8" i="6"/>
  <c r="Z8" i="6"/>
  <c r="AA8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AJ25" i="6" l="1"/>
  <c r="AK25" i="6"/>
  <c r="AZ27" i="6"/>
  <c r="C38" i="8" s="1"/>
  <c r="AJ21" i="6"/>
  <c r="AK21" i="6"/>
  <c r="AJ19" i="6"/>
  <c r="AK19" i="6"/>
  <c r="AJ16" i="6"/>
  <c r="AK16" i="6"/>
  <c r="AJ12" i="6"/>
  <c r="AK12" i="6"/>
  <c r="AJ8" i="6"/>
  <c r="AK8" i="6"/>
  <c r="AJ5" i="6"/>
  <c r="AK5" i="6"/>
  <c r="AJ22" i="6"/>
  <c r="AK22" i="6"/>
  <c r="AJ20" i="6"/>
  <c r="AK20" i="6"/>
  <c r="AJ13" i="6"/>
  <c r="AK13" i="6"/>
  <c r="AJ9" i="6"/>
  <c r="AK9" i="6"/>
  <c r="AJ23" i="6"/>
  <c r="AK23" i="6"/>
  <c r="AJ17" i="6"/>
  <c r="AK17" i="6"/>
  <c r="AJ14" i="6"/>
  <c r="AK14" i="6"/>
  <c r="AJ10" i="6"/>
  <c r="AK10" i="6"/>
  <c r="AJ6" i="6"/>
  <c r="AK6" i="6"/>
  <c r="AJ24" i="6"/>
  <c r="AK24" i="6"/>
  <c r="AJ18" i="6"/>
  <c r="AK18" i="6"/>
  <c r="AJ15" i="6"/>
  <c r="AK15" i="6"/>
  <c r="AJ11" i="6"/>
  <c r="AK11" i="6"/>
  <c r="AJ4" i="6"/>
  <c r="AK4" i="6"/>
  <c r="AM27" i="6"/>
  <c r="AM26" i="6"/>
  <c r="AN26" i="6"/>
  <c r="AZ26" i="6" s="1"/>
  <c r="AM24" i="6" l="1"/>
  <c r="AM25" i="6"/>
  <c r="AM9" i="6"/>
  <c r="AM6" i="6"/>
  <c r="AM11" i="6"/>
  <c r="AM18" i="6"/>
  <c r="AM21" i="6"/>
  <c r="AM13" i="6"/>
  <c r="AM19" i="6"/>
  <c r="AM23" i="6"/>
  <c r="AM5" i="6"/>
  <c r="AM15" i="6"/>
  <c r="AM4" i="6"/>
  <c r="AM10" i="6"/>
  <c r="AM17" i="6"/>
  <c r="AM8" i="6"/>
  <c r="AM16" i="6"/>
  <c r="AM20" i="6"/>
  <c r="AM22" i="6"/>
  <c r="AM14" i="6"/>
  <c r="AM12" i="6"/>
  <c r="AN22" i="6"/>
  <c r="AS22" i="6"/>
  <c r="AZ22" i="6" l="1"/>
  <c r="AT48" i="6"/>
  <c r="AS8" i="6"/>
  <c r="AS16" i="6"/>
  <c r="AS12" i="6"/>
  <c r="AS6" i="6"/>
  <c r="AS3" i="6"/>
  <c r="AS21" i="6"/>
  <c r="AS25" i="6"/>
  <c r="AS20" i="6"/>
  <c r="AS18" i="6"/>
  <c r="AS15" i="6"/>
  <c r="AS11" i="6"/>
  <c r="AS24" i="6"/>
  <c r="AS19" i="6"/>
  <c r="AS17" i="6"/>
  <c r="AS14" i="6"/>
  <c r="AS10" i="6"/>
  <c r="AS5" i="6"/>
  <c r="AS23" i="6"/>
  <c r="AS13" i="6"/>
  <c r="AS9" i="6"/>
  <c r="AS4" i="6"/>
  <c r="AS48" i="6" l="1"/>
  <c r="P25" i="6"/>
  <c r="P24" i="6"/>
  <c r="P23" i="6"/>
  <c r="AN24" i="6" l="1"/>
  <c r="AZ24" i="6" s="1"/>
  <c r="P21" i="6"/>
  <c r="AN25" i="6" l="1"/>
  <c r="AZ25" i="6" s="1"/>
  <c r="AN23" i="6"/>
  <c r="AZ23" i="6" s="1"/>
  <c r="C28" i="8" s="1"/>
  <c r="R9" i="5" l="1"/>
  <c r="R10" i="5"/>
  <c r="R11" i="5"/>
  <c r="R12" i="5"/>
  <c r="R13" i="5"/>
  <c r="R14" i="5"/>
  <c r="R15" i="5"/>
  <c r="R16" i="5"/>
  <c r="R17" i="5"/>
  <c r="R18" i="5"/>
  <c r="R19" i="5"/>
  <c r="R20" i="5"/>
  <c r="R25" i="5"/>
  <c r="R26" i="5"/>
  <c r="R27" i="5"/>
  <c r="R28" i="5"/>
  <c r="R32" i="5"/>
  <c r="R33" i="5"/>
  <c r="R34" i="5"/>
  <c r="R35" i="5"/>
  <c r="R36" i="5"/>
  <c r="R37" i="5"/>
  <c r="R38" i="5"/>
  <c r="R5" i="5"/>
  <c r="Q48" i="6"/>
  <c r="R48" i="6"/>
  <c r="S48" i="6"/>
  <c r="V48" i="6"/>
  <c r="W48" i="6"/>
  <c r="X48" i="6"/>
  <c r="AD42" i="6"/>
  <c r="AG42" i="6" s="1"/>
  <c r="AD43" i="6"/>
  <c r="AG43" i="6" s="1"/>
  <c r="AD44" i="6"/>
  <c r="AG44" i="6" s="1"/>
  <c r="AD41" i="6"/>
  <c r="AG41" i="6" s="1"/>
  <c r="R21" i="5" l="1"/>
  <c r="R22" i="5"/>
  <c r="R30" i="5"/>
  <c r="R24" i="5"/>
  <c r="R23" i="5"/>
  <c r="AN21" i="6"/>
  <c r="AZ21" i="6" s="1"/>
  <c r="C35" i="8" s="1"/>
  <c r="AD48" i="6"/>
  <c r="X6" i="5" l="1"/>
  <c r="T7" i="5"/>
  <c r="U7" i="5" s="1"/>
  <c r="V7" i="5" s="1"/>
  <c r="W7" i="5" s="1"/>
  <c r="AA3" i="6"/>
  <c r="J6" i="5" s="1"/>
  <c r="Z3" i="6"/>
  <c r="I6" i="5" s="1"/>
  <c r="Y3" i="6"/>
  <c r="P4" i="6"/>
  <c r="P3" i="6"/>
  <c r="AK3" i="6" l="1"/>
  <c r="AJ3" i="6"/>
  <c r="H6" i="5"/>
  <c r="K6" i="5" s="1"/>
  <c r="I7" i="5"/>
  <c r="J7" i="5"/>
  <c r="H7" i="5"/>
  <c r="X7" i="5"/>
  <c r="AK48" i="6" l="1"/>
  <c r="AJ48" i="6"/>
  <c r="AM3" i="6"/>
  <c r="K7" i="5"/>
  <c r="AN4" i="6" l="1"/>
  <c r="AN3" i="6"/>
  <c r="G42" i="10" l="1"/>
  <c r="D24" i="10"/>
  <c r="G24" i="10" s="1"/>
  <c r="D23" i="10"/>
  <c r="G23" i="10" s="1"/>
  <c r="D22" i="10"/>
  <c r="G22" i="10" s="1"/>
  <c r="D21" i="10"/>
  <c r="G21" i="10" s="1"/>
  <c r="D20" i="10"/>
  <c r="G20" i="10" s="1"/>
  <c r="D19" i="10"/>
  <c r="G19" i="10" s="1"/>
  <c r="D18" i="10"/>
  <c r="G18" i="10" s="1"/>
  <c r="D17" i="10"/>
  <c r="G17" i="10" s="1"/>
  <c r="D16" i="10"/>
  <c r="G16" i="10" s="1"/>
  <c r="D15" i="10"/>
  <c r="G15" i="10" s="1"/>
  <c r="H14" i="10"/>
  <c r="G14" i="10"/>
  <c r="C5" i="8" l="1"/>
  <c r="B44" i="7" l="1"/>
  <c r="D22" i="7" l="1"/>
  <c r="D21" i="7"/>
  <c r="D20" i="7"/>
  <c r="A24" i="7"/>
  <c r="A23" i="7"/>
  <c r="A22" i="7"/>
  <c r="A21" i="7"/>
  <c r="A20" i="7"/>
  <c r="E14" i="7" l="1"/>
  <c r="B8" i="7"/>
  <c r="B14" i="7" l="1"/>
  <c r="B11" i="7"/>
  <c r="E11" i="7"/>
  <c r="B10" i="7"/>
  <c r="E10" i="7"/>
  <c r="E9" i="7"/>
  <c r="E8" i="7"/>
  <c r="M20" i="5" l="1"/>
  <c r="M15" i="5"/>
  <c r="N15" i="5" s="1"/>
  <c r="O15" i="5" s="1"/>
  <c r="P15" i="5" s="1"/>
  <c r="M13" i="5"/>
  <c r="N13" i="5" s="1"/>
  <c r="O13" i="5" s="1"/>
  <c r="P13" i="5" s="1"/>
  <c r="Q13" i="5" s="1"/>
  <c r="M38" i="5"/>
  <c r="N38" i="5" s="1"/>
  <c r="O38" i="5" s="1"/>
  <c r="P38" i="5" s="1"/>
  <c r="Q38" i="5" s="1"/>
  <c r="M37" i="5"/>
  <c r="N37" i="5" s="1"/>
  <c r="O37" i="5" s="1"/>
  <c r="P37" i="5" s="1"/>
  <c r="Q37" i="5" s="1"/>
  <c r="M36" i="5"/>
  <c r="N36" i="5" s="1"/>
  <c r="O36" i="5" s="1"/>
  <c r="P36" i="5" s="1"/>
  <c r="Q36" i="5" s="1"/>
  <c r="M35" i="5"/>
  <c r="N35" i="5" s="1"/>
  <c r="O35" i="5" s="1"/>
  <c r="P35" i="5" s="1"/>
  <c r="Q35" i="5" s="1"/>
  <c r="M34" i="5"/>
  <c r="N34" i="5" s="1"/>
  <c r="O34" i="5" s="1"/>
  <c r="P34" i="5" s="1"/>
  <c r="Q34" i="5" s="1"/>
  <c r="M33" i="5"/>
  <c r="N33" i="5" s="1"/>
  <c r="O33" i="5" s="1"/>
  <c r="P33" i="5" s="1"/>
  <c r="Q33" i="5" s="1"/>
  <c r="N32" i="5"/>
  <c r="O32" i="5" s="1"/>
  <c r="P32" i="5" s="1"/>
  <c r="Q32" i="5" s="1"/>
  <c r="M31" i="5"/>
  <c r="N31" i="5" s="1"/>
  <c r="O31" i="5" s="1"/>
  <c r="P31" i="5" s="1"/>
  <c r="Q31" i="5" s="1"/>
  <c r="M30" i="5"/>
  <c r="N30" i="5" s="1"/>
  <c r="O30" i="5" s="1"/>
  <c r="P30" i="5" s="1"/>
  <c r="Q30" i="5" s="1"/>
  <c r="M29" i="5"/>
  <c r="N29" i="5" s="1"/>
  <c r="O29" i="5" s="1"/>
  <c r="P29" i="5" s="1"/>
  <c r="Q29" i="5" s="1"/>
  <c r="M28" i="5"/>
  <c r="N28" i="5" s="1"/>
  <c r="O28" i="5" s="1"/>
  <c r="Q28" i="5" s="1"/>
  <c r="M27" i="5"/>
  <c r="N27" i="5" s="1"/>
  <c r="O27" i="5" s="1"/>
  <c r="O26" i="5"/>
  <c r="P26" i="5" s="1"/>
  <c r="Q26" i="5" s="1"/>
  <c r="M26" i="5"/>
  <c r="M25" i="5"/>
  <c r="O25" i="5" s="1"/>
  <c r="P25" i="5" s="1"/>
  <c r="Q25" i="5" s="1"/>
  <c r="M24" i="5"/>
  <c r="N24" i="5" s="1"/>
  <c r="O24" i="5" s="1"/>
  <c r="P24" i="5" s="1"/>
  <c r="Q24" i="5" s="1"/>
  <c r="M23" i="5"/>
  <c r="N23" i="5" s="1"/>
  <c r="O23" i="5" s="1"/>
  <c r="P23" i="5" s="1"/>
  <c r="Q23" i="5" s="1"/>
  <c r="M22" i="5"/>
  <c r="N22" i="5" s="1"/>
  <c r="O22" i="5" s="1"/>
  <c r="P22" i="5" s="1"/>
  <c r="Q22" i="5" s="1"/>
  <c r="M21" i="5"/>
  <c r="N21" i="5" s="1"/>
  <c r="O21" i="5" s="1"/>
  <c r="P21" i="5" s="1"/>
  <c r="Q21" i="5" s="1"/>
  <c r="O20" i="5"/>
  <c r="P20" i="5" s="1"/>
  <c r="Q20" i="5" s="1"/>
  <c r="M19" i="5"/>
  <c r="N19" i="5" s="1"/>
  <c r="O19" i="5" s="1"/>
  <c r="P19" i="5" s="1"/>
  <c r="Q19" i="5" s="1"/>
  <c r="M18" i="5"/>
  <c r="N18" i="5" s="1"/>
  <c r="O18" i="5" s="1"/>
  <c r="P18" i="5" s="1"/>
  <c r="Q18" i="5" s="1"/>
  <c r="M17" i="5"/>
  <c r="N17" i="5" s="1"/>
  <c r="O17" i="5" s="1"/>
  <c r="P17" i="5" s="1"/>
  <c r="Q17" i="5" s="1"/>
  <c r="M16" i="5"/>
  <c r="N16" i="5" s="1"/>
  <c r="O16" i="5" s="1"/>
  <c r="P16" i="5" s="1"/>
  <c r="Q16" i="5" s="1"/>
  <c r="M14" i="5"/>
  <c r="N14" i="5" s="1"/>
  <c r="O14" i="5" s="1"/>
  <c r="P14" i="5" s="1"/>
  <c r="M12" i="5"/>
  <c r="N12" i="5" s="1"/>
  <c r="O12" i="5" s="1"/>
  <c r="P12" i="5" s="1"/>
  <c r="Q12" i="5" s="1"/>
  <c r="M11" i="5"/>
  <c r="N11" i="5" s="1"/>
  <c r="O11" i="5" s="1"/>
  <c r="P11" i="5" s="1"/>
  <c r="Q11" i="5" s="1"/>
  <c r="M10" i="5"/>
  <c r="N10" i="5" s="1"/>
  <c r="O10" i="5" s="1"/>
  <c r="P10" i="5" s="1"/>
  <c r="Q10" i="5" s="1"/>
  <c r="M9" i="5"/>
  <c r="N9" i="5" s="1"/>
  <c r="O9" i="5" s="1"/>
  <c r="P9" i="5" s="1"/>
  <c r="Q9" i="5" s="1"/>
  <c r="AO10" i="6"/>
  <c r="AO11" i="6"/>
  <c r="AO12" i="6"/>
  <c r="AO13" i="6"/>
  <c r="AO14" i="6"/>
  <c r="AO15" i="6"/>
  <c r="AO41" i="6"/>
  <c r="AO42" i="6"/>
  <c r="AO43" i="6"/>
  <c r="AO44" i="6"/>
  <c r="AO16" i="6"/>
  <c r="AO17" i="6"/>
  <c r="AO18" i="6"/>
  <c r="AO19" i="6"/>
  <c r="AO20" i="6"/>
  <c r="P19" i="6"/>
  <c r="P20" i="6"/>
  <c r="X29" i="5" l="1"/>
  <c r="X31" i="5"/>
  <c r="P6" i="6" l="1"/>
  <c r="P8" i="6"/>
  <c r="P9" i="6"/>
  <c r="P10" i="6"/>
  <c r="P11" i="6"/>
  <c r="P12" i="6"/>
  <c r="P13" i="6"/>
  <c r="P14" i="6"/>
  <c r="P15" i="6"/>
  <c r="P41" i="6"/>
  <c r="P42" i="6"/>
  <c r="P43" i="6"/>
  <c r="P44" i="6"/>
  <c r="P16" i="6"/>
  <c r="P17" i="6"/>
  <c r="P18" i="6"/>
  <c r="P5" i="6" l="1"/>
  <c r="T48" i="6"/>
  <c r="E13" i="7"/>
  <c r="B13" i="7" l="1"/>
  <c r="J38" i="5" l="1"/>
  <c r="H36" i="5"/>
  <c r="J37" i="5"/>
  <c r="I35" i="5"/>
  <c r="J36" i="5"/>
  <c r="H38" i="5"/>
  <c r="J14" i="5"/>
  <c r="I37" i="5"/>
  <c r="J35" i="5"/>
  <c r="I36" i="5"/>
  <c r="H9" i="5"/>
  <c r="H35" i="5"/>
  <c r="I38" i="5"/>
  <c r="H37" i="5"/>
  <c r="S36" i="5"/>
  <c r="T36" i="5" s="1"/>
  <c r="U36" i="5" s="1"/>
  <c r="V36" i="5" s="1"/>
  <c r="W36" i="5" s="1"/>
  <c r="X36" i="5" s="1"/>
  <c r="S35" i="5"/>
  <c r="T35" i="5" s="1"/>
  <c r="U35" i="5" s="1"/>
  <c r="V35" i="5" s="1"/>
  <c r="W35" i="5" s="1"/>
  <c r="S37" i="5"/>
  <c r="T37" i="5" s="1"/>
  <c r="U37" i="5" s="1"/>
  <c r="V37" i="5" s="1"/>
  <c r="W37" i="5" s="1"/>
  <c r="S9" i="5"/>
  <c r="T9" i="5" s="1"/>
  <c r="U9" i="5" s="1"/>
  <c r="V9" i="5" s="1"/>
  <c r="W9" i="5" s="1"/>
  <c r="S38" i="5"/>
  <c r="T38" i="5" s="1"/>
  <c r="U38" i="5" s="1"/>
  <c r="V38" i="5" s="1"/>
  <c r="W38" i="5" s="1"/>
  <c r="X38" i="5" l="1"/>
  <c r="X37" i="5"/>
  <c r="X9" i="5"/>
  <c r="X35" i="5"/>
  <c r="M5" i="6"/>
  <c r="M6" i="6"/>
  <c r="M8" i="6"/>
  <c r="M9" i="6"/>
  <c r="M10" i="6"/>
  <c r="M11" i="6"/>
  <c r="M12" i="6"/>
  <c r="M13" i="6"/>
  <c r="M14" i="6"/>
  <c r="M15" i="6"/>
  <c r="M41" i="6"/>
  <c r="M42" i="6"/>
  <c r="M43" i="6"/>
  <c r="M44" i="6"/>
  <c r="M16" i="6"/>
  <c r="M17" i="6"/>
  <c r="M18" i="6"/>
  <c r="M19" i="6"/>
  <c r="M20" i="6"/>
  <c r="Y41" i="6"/>
  <c r="Z41" i="6"/>
  <c r="AA41" i="6"/>
  <c r="Y42" i="6"/>
  <c r="H22" i="5" s="1"/>
  <c r="Z42" i="6"/>
  <c r="I22" i="5" s="1"/>
  <c r="AA42" i="6"/>
  <c r="J22" i="5" s="1"/>
  <c r="Y43" i="6"/>
  <c r="H23" i="5" s="1"/>
  <c r="Z43" i="6"/>
  <c r="I23" i="5" s="1"/>
  <c r="AA43" i="6"/>
  <c r="J23" i="5" s="1"/>
  <c r="Y44" i="6"/>
  <c r="H24" i="5" s="1"/>
  <c r="Z44" i="6"/>
  <c r="I24" i="5" s="1"/>
  <c r="AA44" i="6"/>
  <c r="J24" i="5" s="1"/>
  <c r="D37" i="7" l="1"/>
  <c r="H20" i="5"/>
  <c r="H16" i="5"/>
  <c r="J11" i="5"/>
  <c r="H5" i="5"/>
  <c r="H34" i="5"/>
  <c r="J32" i="5"/>
  <c r="J27" i="5"/>
  <c r="I26" i="5"/>
  <c r="H25" i="5"/>
  <c r="J19" i="5"/>
  <c r="I18" i="5"/>
  <c r="H17" i="5"/>
  <c r="J15" i="5"/>
  <c r="H14" i="5"/>
  <c r="J12" i="5"/>
  <c r="I11" i="5"/>
  <c r="H10" i="5"/>
  <c r="I8" i="5"/>
  <c r="J18" i="5"/>
  <c r="I14" i="5"/>
  <c r="J33" i="5"/>
  <c r="J20" i="5"/>
  <c r="I19" i="5"/>
  <c r="H18" i="5"/>
  <c r="J16" i="5"/>
  <c r="I15" i="5"/>
  <c r="J13" i="5"/>
  <c r="I12" i="5"/>
  <c r="H11" i="5"/>
  <c r="J9" i="5"/>
  <c r="H8" i="5"/>
  <c r="I5" i="5"/>
  <c r="I34" i="5"/>
  <c r="H33" i="5"/>
  <c r="H28" i="5"/>
  <c r="J26" i="5"/>
  <c r="I25" i="5"/>
  <c r="I17" i="5"/>
  <c r="H13" i="5"/>
  <c r="I10" i="5"/>
  <c r="J8" i="5"/>
  <c r="J5" i="5"/>
  <c r="I32" i="5"/>
  <c r="J28" i="5"/>
  <c r="I27" i="5"/>
  <c r="H26" i="5"/>
  <c r="J34" i="5"/>
  <c r="I33" i="5"/>
  <c r="H32" i="5"/>
  <c r="I28" i="5"/>
  <c r="H27" i="5"/>
  <c r="J25" i="5"/>
  <c r="I20" i="5"/>
  <c r="H19" i="5"/>
  <c r="J17" i="5"/>
  <c r="I16" i="5"/>
  <c r="H15" i="5"/>
  <c r="I13" i="5"/>
  <c r="H12" i="5"/>
  <c r="J10" i="5"/>
  <c r="I9" i="5"/>
  <c r="I21" i="5"/>
  <c r="Z48" i="6"/>
  <c r="H21" i="5"/>
  <c r="Y48" i="6"/>
  <c r="J21" i="5"/>
  <c r="AA48" i="6"/>
  <c r="B20" i="7"/>
  <c r="B22" i="7"/>
  <c r="B21" i="7"/>
  <c r="S33" i="5"/>
  <c r="T33" i="5" s="1"/>
  <c r="U33" i="5" s="1"/>
  <c r="V33" i="5" s="1"/>
  <c r="W33" i="5" s="1"/>
  <c r="X33" i="5" s="1"/>
  <c r="S19" i="5"/>
  <c r="T19" i="5" s="1"/>
  <c r="U19" i="5" s="1"/>
  <c r="V19" i="5" s="1"/>
  <c r="W19" i="5" s="1"/>
  <c r="S28" i="5"/>
  <c r="T28" i="5" s="1"/>
  <c r="U28" i="5" s="1"/>
  <c r="V28" i="5" s="1"/>
  <c r="W28" i="5" s="1"/>
  <c r="S24" i="5"/>
  <c r="T24" i="5" s="1"/>
  <c r="U24" i="5" s="1"/>
  <c r="V24" i="5" s="1"/>
  <c r="W24" i="5" s="1"/>
  <c r="S20" i="5"/>
  <c r="T20" i="5" s="1"/>
  <c r="U20" i="5" s="1"/>
  <c r="V20" i="5" s="1"/>
  <c r="W20" i="5" s="1"/>
  <c r="S16" i="5"/>
  <c r="T16" i="5" s="1"/>
  <c r="U16" i="5" s="1"/>
  <c r="V16" i="5" s="1"/>
  <c r="W16" i="5" s="1"/>
  <c r="S13" i="5"/>
  <c r="T13" i="5" s="1"/>
  <c r="U13" i="5" s="1"/>
  <c r="V13" i="5" s="1"/>
  <c r="W13" i="5" s="1"/>
  <c r="X13" i="5" s="1"/>
  <c r="S23" i="5"/>
  <c r="T23" i="5" s="1"/>
  <c r="U23" i="5" s="1"/>
  <c r="V23" i="5" s="1"/>
  <c r="W23" i="5" s="1"/>
  <c r="S12" i="5"/>
  <c r="T12" i="5" s="1"/>
  <c r="U12" i="5" s="1"/>
  <c r="V12" i="5" s="1"/>
  <c r="W12" i="5" s="1"/>
  <c r="S17" i="5"/>
  <c r="T17" i="5" s="1"/>
  <c r="U17" i="5" s="1"/>
  <c r="V17" i="5" s="1"/>
  <c r="W17" i="5" s="1"/>
  <c r="S14" i="5"/>
  <c r="T14" i="5" s="1"/>
  <c r="U14" i="5" s="1"/>
  <c r="V14" i="5" s="1"/>
  <c r="W14" i="5" s="1"/>
  <c r="S10" i="5"/>
  <c r="T10" i="5" s="1"/>
  <c r="U10" i="5" s="1"/>
  <c r="V10" i="5" s="1"/>
  <c r="W10" i="5" s="1"/>
  <c r="S27" i="5"/>
  <c r="T27" i="5" s="1"/>
  <c r="U27" i="5" s="1"/>
  <c r="V27" i="5" s="1"/>
  <c r="W27" i="5" s="1"/>
  <c r="S15" i="5"/>
  <c r="T15" i="5" s="1"/>
  <c r="U15" i="5" s="1"/>
  <c r="V15" i="5" s="1"/>
  <c r="W15" i="5" s="1"/>
  <c r="X15" i="5" s="1"/>
  <c r="S34" i="5"/>
  <c r="T34" i="5" s="1"/>
  <c r="U34" i="5" s="1"/>
  <c r="V34" i="5" s="1"/>
  <c r="W34" i="5" s="1"/>
  <c r="X30" i="5"/>
  <c r="S26" i="5"/>
  <c r="T26" i="5" s="1"/>
  <c r="U26" i="5" s="1"/>
  <c r="V26" i="5" s="1"/>
  <c r="W26" i="5" s="1"/>
  <c r="S22" i="5"/>
  <c r="T22" i="5" s="1"/>
  <c r="U22" i="5" s="1"/>
  <c r="V22" i="5" s="1"/>
  <c r="W22" i="5" s="1"/>
  <c r="S11" i="5"/>
  <c r="T11" i="5" s="1"/>
  <c r="U11" i="5" s="1"/>
  <c r="V11" i="5" s="1"/>
  <c r="W11" i="5" s="1"/>
  <c r="M5" i="5"/>
  <c r="N5" i="5" s="1"/>
  <c r="O5" i="5" s="1"/>
  <c r="P5" i="5" s="1"/>
  <c r="Q5" i="5" s="1"/>
  <c r="E20" i="7" l="1"/>
  <c r="B37" i="7"/>
  <c r="E37" i="7" s="1"/>
  <c r="X22" i="5"/>
  <c r="X34" i="5"/>
  <c r="K5" i="5"/>
  <c r="X17" i="5"/>
  <c r="X12" i="5"/>
  <c r="X10" i="5"/>
  <c r="X14" i="5"/>
  <c r="X24" i="5"/>
  <c r="X19" i="5"/>
  <c r="B25" i="7"/>
  <c r="X26" i="5"/>
  <c r="X27" i="5"/>
  <c r="X23" i="5"/>
  <c r="X20" i="5"/>
  <c r="X28" i="5"/>
  <c r="X16" i="5"/>
  <c r="X11" i="5"/>
  <c r="S32" i="5"/>
  <c r="T32" i="5" s="1"/>
  <c r="U32" i="5" s="1"/>
  <c r="V32" i="5" s="1"/>
  <c r="W32" i="5" s="1"/>
  <c r="S18" i="5"/>
  <c r="T18" i="5" s="1"/>
  <c r="U18" i="5" s="1"/>
  <c r="V18" i="5" s="1"/>
  <c r="W18" i="5" s="1"/>
  <c r="S21" i="5"/>
  <c r="T21" i="5" s="1"/>
  <c r="U21" i="5" s="1"/>
  <c r="V21" i="5" s="1"/>
  <c r="W21" i="5" s="1"/>
  <c r="X21" i="5" s="1"/>
  <c r="S25" i="5"/>
  <c r="T25" i="5" s="1"/>
  <c r="U25" i="5" s="1"/>
  <c r="V25" i="5" s="1"/>
  <c r="W25" i="5" s="1"/>
  <c r="AN43" i="6"/>
  <c r="AZ43" i="6" s="1"/>
  <c r="C30" i="8" s="1"/>
  <c r="AN14" i="6"/>
  <c r="AN41" i="6"/>
  <c r="AZ41" i="6" s="1"/>
  <c r="C29" i="8" s="1"/>
  <c r="AN42" i="6"/>
  <c r="AZ42" i="6" s="1"/>
  <c r="C32" i="8" s="1"/>
  <c r="AN19" i="6"/>
  <c r="AN17" i="6"/>
  <c r="AN13" i="6"/>
  <c r="AN18" i="6"/>
  <c r="AN44" i="6"/>
  <c r="AZ44" i="6" s="1"/>
  <c r="C31" i="8" s="1"/>
  <c r="AE48" i="6"/>
  <c r="AF48" i="6"/>
  <c r="AO9" i="6"/>
  <c r="AO8" i="6"/>
  <c r="AO6" i="6"/>
  <c r="AO5" i="6"/>
  <c r="B36" i="7" l="1"/>
  <c r="D36" i="7"/>
  <c r="AN11" i="6"/>
  <c r="AN16" i="6"/>
  <c r="AN15" i="6"/>
  <c r="AN10" i="6"/>
  <c r="AN12" i="6"/>
  <c r="X25" i="5"/>
  <c r="X18" i="5"/>
  <c r="X32" i="5"/>
  <c r="AN5" i="6" l="1"/>
  <c r="AN9" i="6"/>
  <c r="AN8" i="6"/>
  <c r="AO48" i="6"/>
  <c r="AH48" i="6"/>
  <c r="AN6" i="6" l="1"/>
  <c r="K8" i="5"/>
  <c r="D38" i="7" l="1"/>
  <c r="K37" i="5"/>
  <c r="K38" i="5"/>
  <c r="E36" i="7" l="1"/>
  <c r="E38" i="7" s="1"/>
  <c r="B38" i="7"/>
  <c r="T8" i="5"/>
  <c r="U8" i="5" s="1"/>
  <c r="V8" i="5" s="1"/>
  <c r="W8" i="5" s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0" i="5"/>
  <c r="K32" i="5"/>
  <c r="K33" i="5"/>
  <c r="K34" i="5"/>
  <c r="K35" i="5"/>
  <c r="K36" i="5"/>
  <c r="X8" i="5" l="1"/>
  <c r="AC39" i="5"/>
  <c r="AB39" i="5"/>
  <c r="Z39" i="5" l="1"/>
  <c r="AA39" i="5"/>
  <c r="Y39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5" i="5"/>
  <c r="AD39" i="5"/>
  <c r="AE39" i="5"/>
  <c r="AF39" i="5"/>
  <c r="AG39" i="5"/>
  <c r="AH39" i="5"/>
  <c r="AI39" i="5"/>
  <c r="AJ39" i="5"/>
  <c r="AK39" i="5" l="1"/>
  <c r="I39" i="5" l="1"/>
  <c r="H39" i="5"/>
  <c r="J39" i="5"/>
  <c r="I20" i="3" l="1"/>
  <c r="D5" i="3" s="1"/>
  <c r="B6" i="3"/>
  <c r="B7" i="3"/>
  <c r="D7" i="3" s="1"/>
  <c r="B8" i="3"/>
  <c r="B9" i="3"/>
  <c r="D9" i="3" s="1"/>
  <c r="B10" i="3"/>
  <c r="B11" i="3"/>
  <c r="D11" i="3" s="1"/>
  <c r="B12" i="3"/>
  <c r="B13" i="3"/>
  <c r="B14" i="3"/>
  <c r="D14" i="3" s="1"/>
  <c r="B15" i="3"/>
  <c r="B16" i="3"/>
  <c r="D16" i="3" s="1"/>
  <c r="I24" i="3"/>
  <c r="I25" i="3"/>
  <c r="H30" i="3"/>
  <c r="I30" i="3" s="1"/>
  <c r="H31" i="3"/>
  <c r="I31" i="3" s="1"/>
  <c r="H32" i="3"/>
  <c r="I32" i="3" s="1"/>
  <c r="H33" i="3"/>
  <c r="I5" i="3" l="1"/>
  <c r="E5" i="3"/>
  <c r="G5" i="3"/>
  <c r="AM26" i="5"/>
  <c r="AM28" i="5"/>
  <c r="AM27" i="5"/>
  <c r="AP25" i="5"/>
  <c r="AP28" i="5"/>
  <c r="AR22" i="5"/>
  <c r="AL21" i="5"/>
  <c r="AP6" i="5"/>
  <c r="AL6" i="5"/>
  <c r="AR6" i="5"/>
  <c r="AM6" i="5"/>
  <c r="AR7" i="5"/>
  <c r="AP7" i="5"/>
  <c r="AL7" i="5"/>
  <c r="AM7" i="5"/>
  <c r="AM25" i="5"/>
  <c r="AM23" i="5"/>
  <c r="AP26" i="5"/>
  <c r="AP27" i="5"/>
  <c r="I11" i="3"/>
  <c r="G11" i="3"/>
  <c r="E11" i="3"/>
  <c r="I14" i="3"/>
  <c r="E14" i="3"/>
  <c r="I7" i="3"/>
  <c r="E7" i="3"/>
  <c r="G7" i="3"/>
  <c r="AL25" i="5"/>
  <c r="AL26" i="5"/>
  <c r="AL28" i="5"/>
  <c r="AL27" i="5"/>
  <c r="AR25" i="5"/>
  <c r="AR26" i="5"/>
  <c r="AR28" i="5"/>
  <c r="AR27" i="5"/>
  <c r="D10" i="3"/>
  <c r="I10" i="3" s="1"/>
  <c r="G14" i="3"/>
  <c r="D15" i="3"/>
  <c r="D13" i="3"/>
  <c r="I13" i="3" s="1"/>
  <c r="D8" i="3"/>
  <c r="G8" i="3" s="1"/>
  <c r="D6" i="3"/>
  <c r="D12" i="3"/>
  <c r="G12" i="3" s="1"/>
  <c r="I16" i="3"/>
  <c r="E16" i="3"/>
  <c r="G16" i="3"/>
  <c r="I9" i="3"/>
  <c r="G9" i="3"/>
  <c r="E9" i="3"/>
  <c r="K31" i="3"/>
  <c r="K32" i="3" s="1"/>
  <c r="AR23" i="5"/>
  <c r="AL22" i="5"/>
  <c r="AL23" i="5"/>
  <c r="AM22" i="5"/>
  <c r="AP23" i="5"/>
  <c r="AP21" i="5"/>
  <c r="AR21" i="5"/>
  <c r="AP24" i="5"/>
  <c r="AL24" i="5"/>
  <c r="AR24" i="5"/>
  <c r="AP22" i="5"/>
  <c r="AM21" i="5"/>
  <c r="AM24" i="5"/>
  <c r="AN28" i="5" l="1"/>
  <c r="AO28" i="5" s="1"/>
  <c r="AN26" i="5"/>
  <c r="AO26" i="5" s="1"/>
  <c r="AQ26" i="5" s="1"/>
  <c r="AS26" i="5" s="1"/>
  <c r="AN25" i="5"/>
  <c r="AO25" i="5" s="1"/>
  <c r="AN27" i="5"/>
  <c r="AO27" i="5" s="1"/>
  <c r="AQ27" i="5" s="1"/>
  <c r="AS27" i="5" s="1"/>
  <c r="AP17" i="6" s="1"/>
  <c r="AZ17" i="6" s="1"/>
  <c r="AN21" i="5"/>
  <c r="AO21" i="5" s="1"/>
  <c r="AQ21" i="5" s="1"/>
  <c r="AS21" i="5" s="1"/>
  <c r="E12" i="3"/>
  <c r="I12" i="3"/>
  <c r="AN7" i="5"/>
  <c r="AO7" i="5" s="1"/>
  <c r="AQ7" i="5" s="1"/>
  <c r="AS7" i="5" s="1"/>
  <c r="AP4" i="6" s="1"/>
  <c r="AZ4" i="6" s="1"/>
  <c r="C19" i="8" s="1"/>
  <c r="AN6" i="5"/>
  <c r="AO6" i="5" s="1"/>
  <c r="AN23" i="5"/>
  <c r="AO23" i="5" s="1"/>
  <c r="AQ23" i="5" s="1"/>
  <c r="AS23" i="5" s="1"/>
  <c r="AP43" i="6" s="1"/>
  <c r="E13" i="3"/>
  <c r="G13" i="3"/>
  <c r="G10" i="3"/>
  <c r="E10" i="3"/>
  <c r="I8" i="3"/>
  <c r="E8" i="3"/>
  <c r="E6" i="3"/>
  <c r="G6" i="3" s="1"/>
  <c r="I6" i="3" s="1"/>
  <c r="G15" i="3"/>
  <c r="I15" i="3"/>
  <c r="E15" i="3"/>
  <c r="AN22" i="5"/>
  <c r="AO22" i="5" s="1"/>
  <c r="AQ22" i="5" s="1"/>
  <c r="AS22" i="5" s="1"/>
  <c r="AP42" i="6" s="1"/>
  <c r="AN24" i="5"/>
  <c r="AO24" i="5" s="1"/>
  <c r="AQ24" i="5" s="1"/>
  <c r="AS24" i="5" s="1"/>
  <c r="AP44" i="6" s="1"/>
  <c r="AQ28" i="5" l="1"/>
  <c r="AS28" i="5" s="1"/>
  <c r="AP18" i="6" s="1"/>
  <c r="AZ18" i="6" s="1"/>
  <c r="C24" i="8" s="1"/>
  <c r="AQ25" i="5"/>
  <c r="AS25" i="5" s="1"/>
  <c r="AP16" i="6" s="1"/>
  <c r="AZ16" i="6" s="1"/>
  <c r="C23" i="8" s="1"/>
  <c r="L2" i="10"/>
  <c r="AQ6" i="5"/>
  <c r="AS6" i="5" s="1"/>
  <c r="AP3" i="6" s="1"/>
  <c r="AZ3" i="6" s="1"/>
  <c r="C18" i="8" s="1"/>
  <c r="AP41" i="6"/>
  <c r="I23" i="3"/>
  <c r="I33" i="3" s="1"/>
  <c r="I36" i="3" s="1"/>
  <c r="I37" i="3" s="1"/>
  <c r="I39" i="3" s="1"/>
  <c r="I41" i="3" s="1"/>
  <c r="C33" i="10" l="1"/>
  <c r="E33" i="10" s="1"/>
  <c r="AP29" i="5"/>
  <c r="AP32" i="5"/>
  <c r="AP36" i="5"/>
  <c r="AL33" i="5"/>
  <c r="AM29" i="5"/>
  <c r="AL29" i="5"/>
  <c r="G33" i="10" l="1"/>
  <c r="E34" i="10" s="1"/>
  <c r="C34" i="10"/>
  <c r="AR29" i="5"/>
  <c r="AM33" i="5"/>
  <c r="AN33" i="5" s="1"/>
  <c r="AO33" i="5" s="1"/>
  <c r="AR32" i="5"/>
  <c r="AL32" i="5"/>
  <c r="AM32" i="5"/>
  <c r="AP33" i="5"/>
  <c r="AL36" i="5"/>
  <c r="AR33" i="5"/>
  <c r="AM36" i="5"/>
  <c r="AM37" i="5"/>
  <c r="AP30" i="5"/>
  <c r="AM30" i="5"/>
  <c r="AR30" i="5"/>
  <c r="AL30" i="5"/>
  <c r="AP31" i="5"/>
  <c r="AR36" i="5"/>
  <c r="AM34" i="5"/>
  <c r="AR34" i="5"/>
  <c r="AP34" i="5"/>
  <c r="AL34" i="5"/>
  <c r="AN29" i="5"/>
  <c r="AO29" i="5" s="1"/>
  <c r="AQ29" i="5" s="1"/>
  <c r="AP38" i="5"/>
  <c r="AR38" i="5"/>
  <c r="AM38" i="5"/>
  <c r="AL38" i="5"/>
  <c r="AR35" i="5"/>
  <c r="AM35" i="5"/>
  <c r="AP35" i="5"/>
  <c r="AL35" i="5"/>
  <c r="I33" i="10" l="1"/>
  <c r="H33" i="10" s="1"/>
  <c r="E15" i="10" s="1"/>
  <c r="F15" i="10" s="1"/>
  <c r="G34" i="10"/>
  <c r="E35" i="10" s="1"/>
  <c r="C35" i="10"/>
  <c r="AS29" i="5"/>
  <c r="AL31" i="5"/>
  <c r="AN32" i="5"/>
  <c r="AO32" i="5" s="1"/>
  <c r="AN30" i="5"/>
  <c r="AO30" i="5" s="1"/>
  <c r="AQ30" i="5" s="1"/>
  <c r="AS30" i="5" s="1"/>
  <c r="AR37" i="5"/>
  <c r="AN36" i="5"/>
  <c r="AO36" i="5" s="1"/>
  <c r="AQ36" i="5" s="1"/>
  <c r="AS36" i="5" s="1"/>
  <c r="AR31" i="5"/>
  <c r="AM31" i="5"/>
  <c r="AP37" i="5"/>
  <c r="AL37" i="5"/>
  <c r="AN37" i="5" s="1"/>
  <c r="AO37" i="5" s="1"/>
  <c r="AQ33" i="5"/>
  <c r="AS33" i="5" s="1"/>
  <c r="AP19" i="6" s="1"/>
  <c r="AZ19" i="6" s="1"/>
  <c r="C26" i="8" s="1"/>
  <c r="AN35" i="5"/>
  <c r="AO35" i="5" s="1"/>
  <c r="AQ35" i="5" s="1"/>
  <c r="AS35" i="5" s="1"/>
  <c r="AN38" i="5"/>
  <c r="AO38" i="5" s="1"/>
  <c r="AN34" i="5"/>
  <c r="AO34" i="5" s="1"/>
  <c r="AQ34" i="5" s="1"/>
  <c r="AS34" i="5" s="1"/>
  <c r="AP20" i="6" s="1"/>
  <c r="H15" i="10" l="1"/>
  <c r="I15" i="10" s="1"/>
  <c r="G35" i="10"/>
  <c r="E36" i="10" s="1"/>
  <c r="C37" i="10" s="1"/>
  <c r="C36" i="10"/>
  <c r="I34" i="10"/>
  <c r="H34" i="10" s="1"/>
  <c r="E16" i="10" s="1"/>
  <c r="AN31" i="5"/>
  <c r="AO31" i="5" s="1"/>
  <c r="AQ31" i="5" s="1"/>
  <c r="AS31" i="5" s="1"/>
  <c r="AQ32" i="5"/>
  <c r="AS32" i="5" s="1"/>
  <c r="AQ37" i="5"/>
  <c r="AS37" i="5" s="1"/>
  <c r="AQ38" i="5"/>
  <c r="AS38" i="5" s="1"/>
  <c r="I35" i="10" l="1"/>
  <c r="H35" i="10" s="1"/>
  <c r="E17" i="10" s="1"/>
  <c r="F17" i="10" s="1"/>
  <c r="I17" i="10" s="1"/>
  <c r="G36" i="10"/>
  <c r="E37" i="10" s="1"/>
  <c r="C38" i="10" s="1"/>
  <c r="F16" i="10"/>
  <c r="I16" i="10" s="1"/>
  <c r="H16" i="10"/>
  <c r="J16" i="10" s="1"/>
  <c r="AR11" i="5"/>
  <c r="AL12" i="5"/>
  <c r="AM11" i="5"/>
  <c r="AL11" i="5"/>
  <c r="AP11" i="5"/>
  <c r="AM9" i="5"/>
  <c r="AP14" i="5"/>
  <c r="AM16" i="5"/>
  <c r="AP9" i="5"/>
  <c r="AP12" i="5"/>
  <c r="AM12" i="5"/>
  <c r="AR12" i="5"/>
  <c r="G37" i="10" l="1"/>
  <c r="E38" i="10" s="1"/>
  <c r="C39" i="10" s="1"/>
  <c r="H17" i="10"/>
  <c r="J17" i="10" s="1"/>
  <c r="I36" i="10"/>
  <c r="H36" i="10" s="1"/>
  <c r="E18" i="10" s="1"/>
  <c r="F18" i="10" s="1"/>
  <c r="AN11" i="5"/>
  <c r="AO11" i="5" s="1"/>
  <c r="AQ11" i="5" s="1"/>
  <c r="AS11" i="5" s="1"/>
  <c r="AR9" i="5"/>
  <c r="AL14" i="5"/>
  <c r="AP16" i="5"/>
  <c r="AL16" i="5"/>
  <c r="AN16" i="5" s="1"/>
  <c r="AO16" i="5" s="1"/>
  <c r="AR16" i="5"/>
  <c r="AL9" i="5"/>
  <c r="AN9" i="5" s="1"/>
  <c r="AR14" i="5"/>
  <c r="AM14" i="5"/>
  <c r="AN12" i="5"/>
  <c r="AO12" i="5" s="1"/>
  <c r="AQ12" i="5" s="1"/>
  <c r="AS12" i="5" s="1"/>
  <c r="AR15" i="5"/>
  <c r="AP15" i="5"/>
  <c r="AM15" i="5"/>
  <c r="AL15" i="5"/>
  <c r="AR13" i="5"/>
  <c r="AP13" i="5"/>
  <c r="AL13" i="5"/>
  <c r="AM13" i="5"/>
  <c r="AP10" i="5"/>
  <c r="AR10" i="5"/>
  <c r="AM10" i="5"/>
  <c r="AL10" i="5"/>
  <c r="AR17" i="5"/>
  <c r="AL17" i="5"/>
  <c r="AP17" i="5"/>
  <c r="AM17" i="5"/>
  <c r="AP18" i="5"/>
  <c r="AR18" i="5"/>
  <c r="AM18" i="5"/>
  <c r="AL18" i="5"/>
  <c r="AL19" i="5"/>
  <c r="AR19" i="5"/>
  <c r="AP19" i="5"/>
  <c r="AM19" i="5"/>
  <c r="AM20" i="5"/>
  <c r="AR20" i="5"/>
  <c r="AP20" i="5"/>
  <c r="AL20" i="5"/>
  <c r="I37" i="10" l="1"/>
  <c r="H37" i="10" s="1"/>
  <c r="E19" i="10" s="1"/>
  <c r="H19" i="10" s="1"/>
  <c r="G38" i="10"/>
  <c r="E39" i="10" s="1"/>
  <c r="C40" i="10" s="1"/>
  <c r="H18" i="10"/>
  <c r="I18" i="10" s="1"/>
  <c r="AN14" i="5"/>
  <c r="AO14" i="5" s="1"/>
  <c r="AQ14" i="5" s="1"/>
  <c r="AS14" i="5" s="1"/>
  <c r="AP9" i="6" s="1"/>
  <c r="AZ9" i="6" s="1"/>
  <c r="C22" i="8" s="1"/>
  <c r="AN19" i="5"/>
  <c r="AO19" i="5" s="1"/>
  <c r="AQ19" i="5" s="1"/>
  <c r="AS19" i="5" s="1"/>
  <c r="AP14" i="6" s="1"/>
  <c r="AZ14" i="6" s="1"/>
  <c r="C25" i="8" s="1"/>
  <c r="AN10" i="5"/>
  <c r="AO10" i="5" s="1"/>
  <c r="AQ10" i="5" s="1"/>
  <c r="AS10" i="5" s="1"/>
  <c r="AN15" i="5"/>
  <c r="AO15" i="5" s="1"/>
  <c r="AQ15" i="5" s="1"/>
  <c r="AS15" i="5" s="1"/>
  <c r="AP10" i="6" s="1"/>
  <c r="AZ10" i="6" s="1"/>
  <c r="C21" i="8" s="1"/>
  <c r="AQ16" i="5"/>
  <c r="AS16" i="5" s="1"/>
  <c r="AP11" i="6" s="1"/>
  <c r="AZ11" i="6" s="1"/>
  <c r="AN18" i="5"/>
  <c r="AO18" i="5" s="1"/>
  <c r="AQ18" i="5" s="1"/>
  <c r="AS18" i="5" s="1"/>
  <c r="AP13" i="6" s="1"/>
  <c r="AZ13" i="6" s="1"/>
  <c r="AN20" i="5"/>
  <c r="AO20" i="5" s="1"/>
  <c r="AO9" i="5"/>
  <c r="AQ9" i="5" s="1"/>
  <c r="AS9" i="5" s="1"/>
  <c r="AP6" i="6" s="1"/>
  <c r="AZ6" i="6" s="1"/>
  <c r="C34" i="8" s="1"/>
  <c r="AN17" i="5"/>
  <c r="AO17" i="5" s="1"/>
  <c r="AQ17" i="5" s="1"/>
  <c r="AS17" i="5" s="1"/>
  <c r="AP12" i="6" s="1"/>
  <c r="AZ12" i="6" s="1"/>
  <c r="C41" i="8" s="1"/>
  <c r="AN13" i="5"/>
  <c r="AO13" i="5" s="1"/>
  <c r="AQ13" i="5" s="1"/>
  <c r="AS13" i="5" s="1"/>
  <c r="AP8" i="6" s="1"/>
  <c r="AZ8" i="6" s="1"/>
  <c r="C39" i="8" s="1"/>
  <c r="F19" i="10" l="1"/>
  <c r="I19" i="10" s="1"/>
  <c r="I38" i="10"/>
  <c r="H38" i="10" s="1"/>
  <c r="E20" i="10" s="1"/>
  <c r="G39" i="10"/>
  <c r="E40" i="10" s="1"/>
  <c r="G40" i="10" s="1"/>
  <c r="E41" i="10" s="1"/>
  <c r="J19" i="10"/>
  <c r="AQ20" i="5"/>
  <c r="AS20" i="5" s="1"/>
  <c r="AP15" i="6" s="1"/>
  <c r="AZ15" i="6" s="1"/>
  <c r="I39" i="10" l="1"/>
  <c r="H39" i="10" s="1"/>
  <c r="E21" i="10" s="1"/>
  <c r="H21" i="10" s="1"/>
  <c r="H20" i="10"/>
  <c r="J20" i="10" s="1"/>
  <c r="F20" i="10"/>
  <c r="I20" i="10" s="1"/>
  <c r="C41" i="10"/>
  <c r="G41" i="10" s="1"/>
  <c r="I40" i="10"/>
  <c r="H40" i="10" s="1"/>
  <c r="E22" i="10" s="1"/>
  <c r="AL8" i="5"/>
  <c r="F21" i="10" l="1"/>
  <c r="F22" i="10"/>
  <c r="I22" i="10" s="1"/>
  <c r="H22" i="10"/>
  <c r="I21" i="10" s="1"/>
  <c r="E42" i="10"/>
  <c r="I42" i="10" s="1"/>
  <c r="H42" i="10" s="1"/>
  <c r="E24" i="10" s="1"/>
  <c r="H24" i="10" s="1"/>
  <c r="I41" i="10"/>
  <c r="H41" i="10" s="1"/>
  <c r="E23" i="10" s="1"/>
  <c r="H23" i="10" s="1"/>
  <c r="AR8" i="5"/>
  <c r="AP8" i="5"/>
  <c r="AM8" i="5"/>
  <c r="AN8" i="5" s="1"/>
  <c r="AO8" i="5" s="1"/>
  <c r="L3" i="10" l="1"/>
  <c r="C5" i="11" s="1"/>
  <c r="AQ8" i="5"/>
  <c r="AS8" i="5" l="1"/>
  <c r="AP5" i="6" s="1"/>
  <c r="AZ5" i="6" s="1"/>
  <c r="C20" i="8" s="1"/>
  <c r="K39" i="5" l="1"/>
  <c r="L39" i="5" l="1"/>
  <c r="M39" i="5" l="1"/>
  <c r="N39" i="5" l="1"/>
  <c r="O39" i="5" l="1"/>
  <c r="P39" i="5" l="1"/>
  <c r="Q39" i="5" l="1"/>
  <c r="R39" i="5" l="1"/>
  <c r="S5" i="5"/>
  <c r="T5" i="5" l="1"/>
  <c r="S39" i="5"/>
  <c r="T39" i="5" l="1"/>
  <c r="U5" i="5"/>
  <c r="V5" i="5" l="1"/>
  <c r="U39" i="5"/>
  <c r="W5" i="5" l="1"/>
  <c r="X5" i="5" s="1"/>
  <c r="V39" i="5"/>
  <c r="W39" i="5" l="1"/>
  <c r="X39" i="5" l="1"/>
  <c r="AL5" i="5"/>
  <c r="AM5" i="5"/>
  <c r="AR5" i="5"/>
  <c r="AP5" i="5"/>
  <c r="AN5" i="5" l="1"/>
  <c r="AO5" i="5" s="1"/>
  <c r="AQ5" i="5" s="1"/>
  <c r="AS5" i="5" s="1"/>
  <c r="E21" i="7" l="1"/>
  <c r="E25" i="7" s="1"/>
  <c r="D27" i="7" s="1"/>
  <c r="AP48" i="6"/>
  <c r="AS39" i="5"/>
  <c r="AG48" i="6" l="1"/>
  <c r="AN20" i="6"/>
  <c r="AZ20" i="6" s="1"/>
  <c r="C27" i="8" s="1"/>
  <c r="C45" i="8" s="1"/>
  <c r="AZ48" i="6" l="1"/>
  <c r="AN48" i="6"/>
  <c r="AM29" i="6" l="1"/>
  <c r="AM48" i="6" s="1"/>
</calcChain>
</file>

<file path=xl/sharedStrings.xml><?xml version="1.0" encoding="utf-8"?>
<sst xmlns="http://schemas.openxmlformats.org/spreadsheetml/2006/main" count="797" uniqueCount="402">
  <si>
    <t>Cash Benefits</t>
  </si>
  <si>
    <t>Taxable Amount</t>
  </si>
  <si>
    <t>Tax Calculation</t>
  </si>
  <si>
    <t>S.No</t>
  </si>
  <si>
    <t>Name</t>
  </si>
  <si>
    <t>Department</t>
  </si>
  <si>
    <t>Total
Gross Salary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</si>
  <si>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</si>
  <si>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</si>
  <si>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</si>
  <si>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</si>
  <si>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</si>
  <si>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</si>
  <si>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</si>
  <si>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</si>
  <si>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</si>
  <si>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</si>
  <si>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</si>
  <si>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</si>
  <si>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Total</t>
  </si>
  <si>
    <t>FROM</t>
  </si>
  <si>
    <t>TO</t>
  </si>
  <si>
    <t>COND.</t>
  </si>
  <si>
    <t>Taxable Inc</t>
  </si>
  <si>
    <t>Rate</t>
  </si>
  <si>
    <t>Amount-1</t>
  </si>
  <si>
    <t>Plus</t>
  </si>
  <si>
    <t>Total Tax Liability</t>
  </si>
  <si>
    <t>EMP.CODE:</t>
  </si>
  <si>
    <t>NAME:</t>
  </si>
  <si>
    <t>Tamoor Arif</t>
  </si>
  <si>
    <t>SLAB</t>
  </si>
  <si>
    <t>Amount-2</t>
  </si>
  <si>
    <t>Salary</t>
  </si>
  <si>
    <t>Month</t>
  </si>
  <si>
    <t>One Time</t>
  </si>
  <si>
    <t>ANNUAL INCOME:</t>
  </si>
  <si>
    <t>TOTAL TAX LIABILITY</t>
  </si>
  <si>
    <r>
      <rPr>
        <b/>
        <sz val="8"/>
        <color theme="1"/>
        <rFont val="Century Gothic"/>
        <family val="2"/>
      </rPr>
      <t>50%</t>
    </r>
    <r>
      <rPr>
        <sz val="8"/>
        <color theme="1"/>
        <rFont val="Century Gothic"/>
        <family val="2"/>
      </rPr>
      <t xml:space="preserve"> Rebate Senior Citizen aged &gt; </t>
    </r>
    <r>
      <rPr>
        <b/>
        <u/>
        <sz val="8"/>
        <color theme="1"/>
        <rFont val="Century Gothic"/>
        <family val="2"/>
      </rPr>
      <t>60YRS</t>
    </r>
    <r>
      <rPr>
        <b/>
        <sz val="8"/>
        <color theme="1"/>
        <rFont val="Century Gothic"/>
        <family val="2"/>
      </rPr>
      <t xml:space="preserve"> &amp; </t>
    </r>
    <r>
      <rPr>
        <b/>
        <u/>
        <sz val="8"/>
        <color theme="1"/>
        <rFont val="Century Gothic"/>
        <family val="2"/>
      </rPr>
      <t>having taxable income &lt; 1,000,000</t>
    </r>
  </si>
  <si>
    <t>NO</t>
  </si>
  <si>
    <t>&lt;--- Select Yes/No</t>
  </si>
  <si>
    <r>
      <rPr>
        <b/>
        <sz val="8"/>
        <color theme="1"/>
        <rFont val="Century Gothic"/>
        <family val="2"/>
      </rPr>
      <t>40%</t>
    </r>
    <r>
      <rPr>
        <sz val="8"/>
        <color theme="1"/>
        <rFont val="Century Gothic"/>
        <family val="2"/>
      </rPr>
      <t xml:space="preserve"> Rebate Full time Teacher / Researcher</t>
    </r>
  </si>
  <si>
    <t>Tax Credit Allowed At Average Tax Rate (Section 61-64)</t>
  </si>
  <si>
    <t>PAID</t>
  </si>
  <si>
    <t>ELIGIBLE</t>
  </si>
  <si>
    <t>TAX CREDIT</t>
  </si>
  <si>
    <t>Charitable donation (Sec-61)</t>
  </si>
  <si>
    <r>
      <rPr>
        <sz val="8"/>
        <color theme="1"/>
        <rFont val="Century Gothic"/>
        <family val="2"/>
      </rPr>
      <t>Investment in Shares/Insurance (Sec-62)</t>
    </r>
    <r>
      <rPr>
        <b/>
        <sz val="8"/>
        <color theme="1"/>
        <rFont val="Century Gothic"/>
        <family val="2"/>
      </rPr>
      <t>*</t>
    </r>
  </si>
  <si>
    <t>Cont. to Approved Pension Fund (Sec-63)</t>
  </si>
  <si>
    <t>Profit on Debt on House Loans (Purch/Const) (Sec-64)</t>
  </si>
  <si>
    <t>* whichever is less among  (a) Paid against insurance (b) 1,500,000 ( c ) 20% of Total Taxable income</t>
  </si>
  <si>
    <t>TOTAL TAX CREDIT</t>
  </si>
  <si>
    <t>GROSS TAX LIABILITY</t>
  </si>
  <si>
    <t>Tax already deducted &amp; deposited</t>
  </si>
  <si>
    <t>NET TAX LIABILITY</t>
  </si>
  <si>
    <t>REMAINING MONTHS</t>
  </si>
  <si>
    <t>PER MONTH DEDUCTION</t>
  </si>
  <si>
    <t>TAX CALCULATOR 2018-19</t>
  </si>
  <si>
    <t>DESIGNED AND DEVELOPED BY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</si>
  <si>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</si>
  <si>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</si>
  <si>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</si>
  <si>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</si>
  <si>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</si>
  <si>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</si>
  <si>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</si>
  <si>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</si>
  <si>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</si>
  <si>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</si>
  <si>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 xml:space="preserve">
ID No.</t>
  </si>
  <si>
    <t>Tax paid</t>
  </si>
  <si>
    <t>Staff Details</t>
  </si>
  <si>
    <t>Attendance Days for the Current Month</t>
  </si>
  <si>
    <t>Fixed Salary (Actual)</t>
  </si>
  <si>
    <t>Monthly Benefits (Current Month Only)</t>
  </si>
  <si>
    <t>Payables</t>
  </si>
  <si>
    <t>Level</t>
  </si>
  <si>
    <t xml:space="preserve">City </t>
  </si>
  <si>
    <t>DOB</t>
  </si>
  <si>
    <t>Age</t>
  </si>
  <si>
    <t>Bank</t>
  </si>
  <si>
    <t>Account 
Number</t>
  </si>
  <si>
    <t>CL</t>
  </si>
  <si>
    <t>SL</t>
  </si>
  <si>
    <t>Absent/Joining/Resign</t>
  </si>
  <si>
    <t>Total Gross Salary</t>
  </si>
  <si>
    <t>Gross Payable</t>
  </si>
  <si>
    <t>EOBI Ded</t>
  </si>
  <si>
    <t>Income Tax</t>
  </si>
  <si>
    <t>Remarks</t>
  </si>
  <si>
    <t>Payroll 
Status</t>
  </si>
  <si>
    <t>Active</t>
  </si>
  <si>
    <t>Lahore</t>
  </si>
  <si>
    <t>-</t>
  </si>
  <si>
    <t>Date of Joining</t>
  </si>
  <si>
    <t xml:space="preserve">
Series 
No.</t>
  </si>
  <si>
    <t xml:space="preserve">
Department</t>
  </si>
  <si>
    <t xml:space="preserve">
Name</t>
  </si>
  <si>
    <t>Designation</t>
  </si>
  <si>
    <t>Muhammad Abdus Sami</t>
  </si>
  <si>
    <t>Tehreem Khalid</t>
  </si>
  <si>
    <t>Muhammad Asad</t>
  </si>
  <si>
    <t>Hadia Saeed</t>
  </si>
  <si>
    <t>M. Jiad Ali Cheema</t>
  </si>
  <si>
    <t>Aiman Rashid</t>
  </si>
  <si>
    <t xml:space="preserve">Tariq </t>
  </si>
  <si>
    <t>M Ather Riaz</t>
  </si>
  <si>
    <t>Haris Waheed Khan</t>
  </si>
  <si>
    <t>Muhammad Daniyal</t>
  </si>
  <si>
    <t>Ammar</t>
  </si>
  <si>
    <t>Anas</t>
  </si>
  <si>
    <t>Wahab</t>
  </si>
  <si>
    <t>Sufian</t>
  </si>
  <si>
    <t>Zohaib Tahir</t>
  </si>
  <si>
    <t>Musavir</t>
  </si>
  <si>
    <t>M Zain Ashraf</t>
  </si>
  <si>
    <t>Muhammad Ahmed Muaaz</t>
  </si>
  <si>
    <t>Saad</t>
  </si>
  <si>
    <t>Rubab</t>
  </si>
  <si>
    <t>Amna</t>
  </si>
  <si>
    <t>Ayesha</t>
  </si>
  <si>
    <t>Raheel</t>
  </si>
  <si>
    <t>Uzair Yamin</t>
  </si>
  <si>
    <t>Khadija Khalid</t>
  </si>
  <si>
    <t>Zia Ur Rehman</t>
  </si>
  <si>
    <t xml:space="preserve">
CNIC No.</t>
  </si>
  <si>
    <t xml:space="preserve">
Days on Duty</t>
  </si>
  <si>
    <t xml:space="preserve">
Working Days</t>
  </si>
  <si>
    <t xml:space="preserve">
Bonus</t>
  </si>
  <si>
    <t>Hassam Tanveer Shah</t>
  </si>
  <si>
    <t>Provident Fund - Employer</t>
  </si>
  <si>
    <t>Cumulative Provident Fund</t>
  </si>
  <si>
    <t xml:space="preserve">
House Rent</t>
  </si>
  <si>
    <t xml:space="preserve">
Basic Salary</t>
  </si>
  <si>
    <t xml:space="preserve">
Medical Allowance</t>
  </si>
  <si>
    <t>EOBI Contrib</t>
  </si>
  <si>
    <t>PF Start Month</t>
  </si>
  <si>
    <t>Employee ID</t>
  </si>
  <si>
    <t xml:space="preserve">Enineering </t>
  </si>
  <si>
    <t>Support Functions</t>
  </si>
  <si>
    <t>Engineering</t>
  </si>
  <si>
    <t>Operation</t>
  </si>
  <si>
    <t>Designing</t>
  </si>
  <si>
    <t>42201-1601397-5</t>
  </si>
  <si>
    <t>Meezan Bank</t>
  </si>
  <si>
    <t>Software Engineer</t>
  </si>
  <si>
    <t>32102-7453099-1</t>
  </si>
  <si>
    <t>35202-8851367-9</t>
  </si>
  <si>
    <t>35201-2652887-9</t>
  </si>
  <si>
    <t>Ahmad Raza</t>
  </si>
  <si>
    <t>35302-6205424-5</t>
  </si>
  <si>
    <t>Operations Executive</t>
  </si>
  <si>
    <t>35202-9293808-5</t>
  </si>
  <si>
    <t>Senior Operations Executive</t>
  </si>
  <si>
    <t>Team Lead</t>
  </si>
  <si>
    <t>35202-4854768-7</t>
  </si>
  <si>
    <t>Administrative Assistant</t>
  </si>
  <si>
    <t>HBL</t>
  </si>
  <si>
    <t>35202-3712039-1</t>
  </si>
  <si>
    <t>14301-8184481-9</t>
  </si>
  <si>
    <t>Faysal Bank</t>
  </si>
  <si>
    <t>35200-9640823-1</t>
  </si>
  <si>
    <t>Associate Operations Executive</t>
  </si>
  <si>
    <t>Allied Bank</t>
  </si>
  <si>
    <t>35101-7274204-0</t>
  </si>
  <si>
    <t>Graphic design Executive</t>
  </si>
  <si>
    <t>35202-8019831-0</t>
  </si>
  <si>
    <t>35202-7318926-3</t>
  </si>
  <si>
    <t>35202-5649707-3</t>
  </si>
  <si>
    <t>35202-6324154-7</t>
  </si>
  <si>
    <t>United Bank Limited (UBL)</t>
  </si>
  <si>
    <t>35201-2105818-6</t>
  </si>
  <si>
    <t>36302-3477568-0</t>
  </si>
  <si>
    <t>35200-1643691-1</t>
  </si>
  <si>
    <t>Manager Accounts &amp; Finance</t>
  </si>
  <si>
    <t>35202-3654634-5</t>
  </si>
  <si>
    <t>35202-7327155-6</t>
  </si>
  <si>
    <t>Abdul Rehman</t>
  </si>
  <si>
    <t>Hasnain Qadar</t>
  </si>
  <si>
    <t>Danish Asif Rana</t>
  </si>
  <si>
    <t>Umer Shahzad</t>
  </si>
  <si>
    <t>34603-1614312-5</t>
  </si>
  <si>
    <t>36402-4312704-9</t>
  </si>
  <si>
    <t>35202-5393175-1</t>
  </si>
  <si>
    <t>16102-4602502-1</t>
  </si>
  <si>
    <t>Head of Support Function</t>
  </si>
  <si>
    <t>09020104413595</t>
  </si>
  <si>
    <t>18587901450703</t>
  </si>
  <si>
    <t>11330103213468</t>
  </si>
  <si>
    <t>3127301000003867</t>
  </si>
  <si>
    <t>01530010079781540018</t>
  </si>
  <si>
    <t>01120103224626</t>
  </si>
  <si>
    <t>11470104544614</t>
  </si>
  <si>
    <t>33010104949623</t>
  </si>
  <si>
    <t>11510104841013</t>
  </si>
  <si>
    <t>0220-0105803230</t>
  </si>
  <si>
    <t>PK13UNIL0109000223818646</t>
  </si>
  <si>
    <t>AL</t>
  </si>
  <si>
    <t>Leave Balance</t>
  </si>
  <si>
    <t>CL Balance</t>
  </si>
  <si>
    <t>SL Balance</t>
  </si>
  <si>
    <t>AL Balance</t>
  </si>
  <si>
    <t>360SynergyTech (Pvt.) Ltd.</t>
  </si>
  <si>
    <t>Net Salary</t>
  </si>
  <si>
    <t>Accounts</t>
  </si>
  <si>
    <t>Employee</t>
  </si>
  <si>
    <t>Employer</t>
  </si>
  <si>
    <t>Opening Balance</t>
  </si>
  <si>
    <t>Contribution for the month</t>
  </si>
  <si>
    <t>Loan Against Salary</t>
  </si>
  <si>
    <t xml:space="preserve">Opening Balance </t>
  </si>
  <si>
    <t>For the month adjustment</t>
  </si>
  <si>
    <t>PAY SLIP</t>
  </si>
  <si>
    <t>Month:</t>
  </si>
  <si>
    <t>CNIC Number:</t>
  </si>
  <si>
    <t>Name:</t>
  </si>
  <si>
    <t>Designation:</t>
  </si>
  <si>
    <t>Date of Joining:</t>
  </si>
  <si>
    <t>Department:</t>
  </si>
  <si>
    <t>Employee ID:</t>
  </si>
  <si>
    <t>Level:</t>
  </si>
  <si>
    <t>Days on Duty</t>
  </si>
  <si>
    <t>Working Days</t>
  </si>
  <si>
    <t>Income</t>
  </si>
  <si>
    <t>Deductions</t>
  </si>
  <si>
    <t>Particulars</t>
  </si>
  <si>
    <t>Amount</t>
  </si>
  <si>
    <t>Sales Commission</t>
  </si>
  <si>
    <t>Provident Fund - Employee Contribution</t>
  </si>
  <si>
    <t>This is a system generated pay slip and doesn’t require any stamp or signature</t>
  </si>
  <si>
    <t>Provident Fund Balance</t>
  </si>
  <si>
    <t>Total Loan Taken</t>
  </si>
  <si>
    <t>Outstanding Loan Balance</t>
  </si>
  <si>
    <t>35202-4865313-7</t>
  </si>
  <si>
    <t xml:space="preserve"> </t>
  </si>
  <si>
    <t xml:space="preserve">The Manager,  </t>
  </si>
  <si>
    <t xml:space="preserve">REF: Transfer of Salary </t>
  </si>
  <si>
    <t xml:space="preserve">Dear Sir:  </t>
  </si>
  <si>
    <t>Account No.</t>
  </si>
  <si>
    <t>Regards</t>
  </si>
  <si>
    <t>_____________________</t>
  </si>
  <si>
    <t>Meezan Bank Limited,</t>
  </si>
  <si>
    <t xml:space="preserve">Behria Orchard Branch, Lahore.  </t>
  </si>
  <si>
    <t>Kindly debit salary of our employees from our Account no. PK24MEZN0011470105982628 in your branch, the details of which have been mentioned below:</t>
  </si>
  <si>
    <t>Muhammad Abdul Haye</t>
  </si>
  <si>
    <t>Anas Ibrahim</t>
  </si>
  <si>
    <t>Muhammad Abdul Wahab</t>
  </si>
  <si>
    <t>Syed Saad-ul-Haq</t>
  </si>
  <si>
    <t>02200105803230</t>
  </si>
  <si>
    <t>Muhammad Ather Riaz</t>
  </si>
  <si>
    <t>Ammar Ahmad khan Khilji</t>
  </si>
  <si>
    <t>Abu Sufian</t>
  </si>
  <si>
    <t>Muhammad Zain Ashraf</t>
  </si>
  <si>
    <t>Rubab Afzal</t>
  </si>
  <si>
    <t>Amna Sana</t>
  </si>
  <si>
    <t>Ayesha Rubab</t>
  </si>
  <si>
    <t>Raheel Ahmad Qureshi</t>
  </si>
  <si>
    <t>Enter your figure here</t>
  </si>
  <si>
    <t>WORKINGS</t>
  </si>
  <si>
    <t xml:space="preserve">ONE </t>
  </si>
  <si>
    <t xml:space="preserve">TWO </t>
  </si>
  <si>
    <t xml:space="preserve">THREE </t>
  </si>
  <si>
    <t xml:space="preserve">FOUR </t>
  </si>
  <si>
    <t xml:space="preserve">FIVE </t>
  </si>
  <si>
    <t xml:space="preserve">SIX </t>
  </si>
  <si>
    <t xml:space="preserve">SEVEN </t>
  </si>
  <si>
    <t xml:space="preserve">EIGHT </t>
  </si>
  <si>
    <t xml:space="preserve">NINE </t>
  </si>
  <si>
    <t xml:space="preserve">TEN </t>
  </si>
  <si>
    <t xml:space="preserve">ELEVEN </t>
  </si>
  <si>
    <t xml:space="preserve">TWELVE </t>
  </si>
  <si>
    <t xml:space="preserve">THIRTEEN </t>
  </si>
  <si>
    <t xml:space="preserve">FOURTEEN </t>
  </si>
  <si>
    <t xml:space="preserve">FIFTEEN </t>
  </si>
  <si>
    <t xml:space="preserve">SIXTEEN </t>
  </si>
  <si>
    <t xml:space="preserve">SEVENTEEN </t>
  </si>
  <si>
    <t xml:space="preserve">EIGHTEEN </t>
  </si>
  <si>
    <t xml:space="preserve">NINETEEN </t>
  </si>
  <si>
    <t xml:space="preserve">TWENTY </t>
  </si>
  <si>
    <t xml:space="preserve">THIRTY </t>
  </si>
  <si>
    <t xml:space="preserve">FOURTY </t>
  </si>
  <si>
    <t xml:space="preserve">FIFTY </t>
  </si>
  <si>
    <t xml:space="preserve">SIXTY </t>
  </si>
  <si>
    <t xml:space="preserve">SEVENTY </t>
  </si>
  <si>
    <t xml:space="preserve">EIGHTY </t>
  </si>
  <si>
    <t xml:space="preserve">NINETY </t>
  </si>
  <si>
    <t xml:space="preserve">HUNDRED </t>
  </si>
  <si>
    <t xml:space="preserve">THOUSAND </t>
  </si>
  <si>
    <t xml:space="preserve">MILLION </t>
  </si>
  <si>
    <t xml:space="preserve"> &amp; PAISA </t>
  </si>
  <si>
    <t>Denom.</t>
  </si>
  <si>
    <t># of Notes</t>
  </si>
  <si>
    <t>Mod.</t>
  </si>
  <si>
    <t>Denomination</t>
  </si>
  <si>
    <t>Balance</t>
  </si>
  <si>
    <t>Muhammad Bilal</t>
  </si>
  <si>
    <t>35202-1581560-1</t>
  </si>
  <si>
    <t>35202-6634469-5</t>
  </si>
  <si>
    <t>Hourly Paid Employees</t>
  </si>
  <si>
    <t>Hourly rate</t>
  </si>
  <si>
    <t>61101-8366047-6</t>
  </si>
  <si>
    <t>Neha Bokhari</t>
  </si>
  <si>
    <t>Hamza Baber</t>
  </si>
  <si>
    <t>35202-2242674-5</t>
  </si>
  <si>
    <t>Habib Bank Limited</t>
  </si>
  <si>
    <t>MCB</t>
  </si>
  <si>
    <t>Areej Shabbir</t>
  </si>
  <si>
    <t>Per day deduction</t>
  </si>
  <si>
    <t>Muhammad Jawad Ali</t>
  </si>
  <si>
    <t>Muhammad Adeel Akbar</t>
  </si>
  <si>
    <t>Director</t>
  </si>
  <si>
    <t>Bushra  Gohar</t>
  </si>
  <si>
    <t>1133-0106470018</t>
  </si>
  <si>
    <t>Zainab Aftab</t>
  </si>
  <si>
    <t>1147-0106319768</t>
  </si>
  <si>
    <t>0254-0106486337</t>
  </si>
  <si>
    <t>Alizeh Khan</t>
  </si>
  <si>
    <t>35202-7906177-4</t>
  </si>
  <si>
    <t>Salaries Paid through Bank</t>
  </si>
  <si>
    <t>Salaries paid through Cheque</t>
  </si>
  <si>
    <t>Bank Transfer</t>
  </si>
  <si>
    <t>Cheque</t>
  </si>
  <si>
    <t>No Color</t>
  </si>
  <si>
    <t>02540106486337</t>
  </si>
  <si>
    <t>Moavia Hassnain</t>
  </si>
  <si>
    <t>Eemaan Fatima</t>
  </si>
  <si>
    <t>Fizza Javed</t>
  </si>
  <si>
    <t>Cumulative Provident Fund - before salary change</t>
  </si>
  <si>
    <t>Associate Telesale Executive</t>
  </si>
  <si>
    <t>Resigned staff</t>
  </si>
  <si>
    <t>35202-6226587-5</t>
  </si>
  <si>
    <t>Assciate Network Engineer</t>
  </si>
  <si>
    <t>35202-8556344-0</t>
  </si>
  <si>
    <t>02240105627693</t>
  </si>
  <si>
    <t>H. Wage</t>
  </si>
  <si>
    <t>0287-0106527899</t>
  </si>
  <si>
    <t>Meezan bank details pertain to her father</t>
  </si>
  <si>
    <t>02870106527899</t>
  </si>
  <si>
    <t>Muhammad Ahmad Awais</t>
  </si>
  <si>
    <t>02240106520571</t>
  </si>
  <si>
    <t>0    1     0     4     2     0     2     2</t>
  </si>
  <si>
    <t>Cash</t>
  </si>
  <si>
    <t>02150104530794</t>
  </si>
  <si>
    <t>Hiba Sohail</t>
  </si>
  <si>
    <t>engineering</t>
  </si>
  <si>
    <t>lahoore</t>
  </si>
  <si>
    <t>Moughees Hasan Raza</t>
  </si>
  <si>
    <t>Syed Musawar Shah</t>
  </si>
  <si>
    <t>32304-0659775-7</t>
  </si>
  <si>
    <t>Associate Software Engineer</t>
  </si>
  <si>
    <t>02690102579434</t>
  </si>
  <si>
    <t>35401-3988313-0</t>
  </si>
  <si>
    <t>0268-0106643766</t>
  </si>
  <si>
    <t>1154-0106641326</t>
  </si>
  <si>
    <t>0288-0106642942</t>
  </si>
  <si>
    <t>35202-1335964-0</t>
  </si>
  <si>
    <t>35403-505559-9</t>
  </si>
  <si>
    <t>35201-4743265-1</t>
  </si>
  <si>
    <t>02140105356821</t>
  </si>
  <si>
    <t>02680106643766</t>
  </si>
  <si>
    <t>12345-6785100-1</t>
  </si>
  <si>
    <t>02880106642942</t>
  </si>
  <si>
    <t>11540106641326</t>
  </si>
  <si>
    <t>Salaries on Hold</t>
  </si>
  <si>
    <t>Hours/Words Worked</t>
  </si>
  <si>
    <t>1133-0106671959</t>
  </si>
  <si>
    <t>Ayaz Ahmad</t>
  </si>
  <si>
    <t>2802-0106747899</t>
  </si>
  <si>
    <t>0106650616</t>
  </si>
  <si>
    <t>34301-8814406-7</t>
  </si>
  <si>
    <t>Net Payable for the month</t>
  </si>
  <si>
    <t>Unapaid Leaves Deductions</t>
  </si>
  <si>
    <t>Other Deduction</t>
  </si>
  <si>
    <t>Eid Bonus</t>
  </si>
  <si>
    <t>Abdul  Rehman</t>
  </si>
  <si>
    <t>12345-7890101-2</t>
  </si>
  <si>
    <t>35202-8337895-9</t>
  </si>
  <si>
    <t>02650106781988</t>
  </si>
  <si>
    <t>Associate Telesales Executive</t>
  </si>
  <si>
    <t>35202-9848514-8</t>
  </si>
  <si>
    <t>Project-Based Contract</t>
  </si>
  <si>
    <t>35201-9165745-8</t>
  </si>
  <si>
    <t>Zeeshan  Arif</t>
  </si>
  <si>
    <t>Service-Based Contract</t>
  </si>
  <si>
    <t>Syed Mustafa Hussain</t>
  </si>
  <si>
    <t>Muhammad Abdur Raheem</t>
  </si>
  <si>
    <t xml:space="preserve">Full Attandance Bonus </t>
  </si>
  <si>
    <t>Referal Fee</t>
  </si>
  <si>
    <t>Leads</t>
  </si>
  <si>
    <t>PF-Final settlement</t>
  </si>
  <si>
    <t>0106650616 - Branch code missing</t>
  </si>
  <si>
    <t>Nothing to be paid, left the company</t>
  </si>
  <si>
    <t>Telemarketing</t>
  </si>
  <si>
    <t>Networks</t>
  </si>
  <si>
    <t>Legal</t>
  </si>
  <si>
    <t>BDM</t>
  </si>
  <si>
    <t>Maham Rehman</t>
  </si>
  <si>
    <t>Aiman Ikram</t>
  </si>
  <si>
    <t>Farhan Ahmed</t>
  </si>
  <si>
    <t>Mishi Naeem</t>
  </si>
  <si>
    <t>Qasim Asad</t>
  </si>
  <si>
    <t>Unapaid Leaves / Availble Approved Timesheets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</si>
</sst>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_);_(@_)"/>
    <numFmt numFmtId="166" formatCode="_(* #,##0_);_(* \(#,##0\);_(* &quot;-&quot;??_);_(@_)"/>
    <numFmt numFmtId="167" formatCode="[$-409]d/mmm/yy;@"/>
    <numFmt numFmtId="168" formatCode="[$-409]d\-mmm\-yy;@"/>
    <numFmt numFmtId="169" formatCode="00000\-0000000\-0"/>
    <numFmt numFmtId="170" formatCode="_-* #,##0_-;\-* #,##0_-;_-* &quot;-&quot;??_-;_-@_-"/>
    <numFmt numFmtId="171" formatCode="dd/mmm/yyyy"/>
    <numFmt numFmtId="172" formatCode="[$-409]mmmm\-yy;@"/>
    <numFmt numFmtId="173" formatCode="[$-409]dd\-mmm\-yy;@"/>
    <numFmt numFmtId="174" formatCode="00000000000000"/>
    <numFmt numFmtId="175" formatCode="&quot;***&quot;0,000&quot;/-&quot;"/>
    <numFmt numFmtId="176" formatCode="_(* #,##0.0000000000000000000000000_);_(* \(#,##0.0000000000000000000000000\);_(* &quot;-&quot;??_);_(@_)"/>
    <numFmt numFmtId="177" formatCode="_(* #,##0.00000_);_(* \(#,##0.00000\);_(* &quot;-&quot;??_);_(@_)"/>
    <numFmt numFmtId="178" formatCode="yyyy\-mm\-dd"/>
  </numFmts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.5"/>
      <color theme="1"/>
      <name val="Century Gothic"/>
      <family val="2"/>
    </font>
    <font>
      <b/>
      <sz val="8.5"/>
      <name val="Calibri"/>
      <family val="2"/>
    </font>
    <font>
      <b/>
      <sz val="8"/>
      <name val="Calibri"/>
      <family val="2"/>
    </font>
    <font>
      <b/>
      <sz val="15"/>
      <color theme="1"/>
      <name val="Century Gothic"/>
      <family val="2"/>
    </font>
    <font>
      <b/>
      <sz val="7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3"/>
      <color theme="0"/>
      <name val="Century Gothic"/>
      <family val="2"/>
    </font>
    <font>
      <b/>
      <sz val="10"/>
      <color theme="2" tint="-0.749992370372631"/>
      <name val="Century Gothic"/>
      <family val="2"/>
    </font>
    <font>
      <b/>
      <sz val="12"/>
      <name val="Century Gothic"/>
      <family val="2"/>
    </font>
    <font>
      <b/>
      <sz val="10"/>
      <color theme="3"/>
      <name val="Century Gothic"/>
      <family val="2"/>
    </font>
    <font>
      <u/>
      <sz val="11"/>
      <color theme="0"/>
      <name val="Calibri"/>
      <family val="2"/>
    </font>
    <font>
      <b/>
      <u/>
      <sz val="10"/>
      <color theme="0"/>
      <name val="Calibri"/>
      <family val="2"/>
    </font>
    <font>
      <sz val="8.5"/>
      <color theme="1"/>
      <name val="Century Gothic"/>
      <family val="2"/>
    </font>
    <font>
      <sz val="10"/>
      <color theme="1"/>
      <name val="Arial"/>
      <family val="2"/>
    </font>
    <font>
      <b/>
      <sz val="8"/>
      <color rgb="FFFF0000"/>
      <name val="Century Gothic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u/>
      <sz val="8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Times New Roman"/>
      <family val="1"/>
    </font>
    <font>
      <sz val="11"/>
      <color theme="1"/>
      <name val="Times New Roman"/>
      <family val="1"/>
    </font>
    <font>
      <u/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name val="Arial"/>
      <family val="2"/>
    </font>
    <font>
      <sz val="14"/>
      <color rgb="FF000000"/>
      <name val="Garamond"/>
      <family val="1"/>
    </font>
    <font>
      <sz val="11"/>
      <name val="Calibri"/>
      <family val="2"/>
    </font>
    <font>
      <u/>
      <sz val="10"/>
      <color theme="10"/>
      <name val="Arial"/>
      <family val="2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171717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34998626667073579"/>
      </left>
      <right/>
      <top/>
      <bottom style="hair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auto="1"/>
      </top>
      <bottom style="hair">
        <color auto="1"/>
      </bottom>
      <diagonal/>
    </border>
    <border>
      <left style="thin">
        <color theme="0" tint="-0.34998626667073579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theme="0" tint="-0.34998626667073579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34998626667073579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theme="0" tint="-0.34998626667073579"/>
      </right>
      <top/>
      <bottom style="hair">
        <color auto="1"/>
      </bottom>
      <diagonal/>
    </border>
    <border>
      <left style="hair">
        <color auto="1"/>
      </left>
      <right style="thin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thin">
        <color theme="0" tint="-0.34998626667073579"/>
      </right>
      <top style="hair">
        <color auto="1"/>
      </top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34998626667073579"/>
      </right>
      <top/>
      <bottom style="hair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rgb="FFFFFFFF"/>
      </right>
      <top style="double">
        <color indexed="64"/>
      </top>
      <bottom style="medium">
        <color rgb="FFFFFFFF"/>
      </bottom>
      <diagonal/>
    </border>
    <border>
      <left/>
      <right style="double">
        <color indexed="64"/>
      </right>
      <top style="double">
        <color indexed="64"/>
      </top>
      <bottom style="medium">
        <color rgb="FFFFFFFF"/>
      </bottom>
      <diagonal/>
    </border>
    <border>
      <left style="double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double">
        <color indexed="64"/>
      </right>
      <top/>
      <bottom style="medium">
        <color rgb="FFFFFFFF"/>
      </bottom>
      <diagonal/>
    </border>
    <border>
      <left style="double">
        <color indexed="64"/>
      </left>
      <right style="medium">
        <color rgb="FFFFFFFF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5">
    <xf numFmtId="0" fontId="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8" fontId="33" fillId="0" borderId="0"/>
    <xf numFmtId="168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168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0" fillId="0" borderId="0"/>
    <xf numFmtId="0" fontId="33" fillId="0" borderId="0"/>
    <xf numFmtId="0" fontId="28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167" fontId="33" fillId="0" borderId="0">
      <alignment vertical="center"/>
    </xf>
    <xf numFmtId="168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8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8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43" fontId="30" fillId="0" borderId="0" applyFont="0" applyFill="0" applyBorder="0" applyAlignment="0" applyProtection="0"/>
    <xf numFmtId="0" fontId="33" fillId="0" borderId="0"/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29" fillId="0" borderId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168" fontId="33" fillId="0" borderId="0">
      <alignment vertical="center"/>
    </xf>
    <xf numFmtId="0" fontId="28" fillId="0" borderId="0">
      <alignment vertical="center"/>
    </xf>
    <xf numFmtId="0" fontId="33" fillId="0" borderId="0"/>
    <xf numFmtId="0" fontId="28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8" fontId="33" fillId="0" borderId="0">
      <alignment vertical="center"/>
    </xf>
    <xf numFmtId="168" fontId="33" fillId="0" borderId="0">
      <alignment vertical="center"/>
    </xf>
    <xf numFmtId="168" fontId="33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8" fillId="0" borderId="0">
      <alignment vertical="center"/>
    </xf>
    <xf numFmtId="0" fontId="28" fillId="0" borderId="0">
      <alignment vertical="center"/>
    </xf>
    <xf numFmtId="43" fontId="33" fillId="0" borderId="0" applyFont="0" applyFill="0" applyBorder="0" applyAlignment="0" applyProtection="0"/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8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3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2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68" fontId="33" fillId="0" borderId="0">
      <alignment vertical="center"/>
    </xf>
    <xf numFmtId="0" fontId="28" fillId="0" borderId="0">
      <alignment vertical="center"/>
    </xf>
    <xf numFmtId="0" fontId="33" fillId="0" borderId="0"/>
    <xf numFmtId="0" fontId="28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65" fillId="0" borderId="0"/>
    <xf numFmtId="43" fontId="65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78" fontId="58" fillId="0" borderId="0"/>
  </cellStyleXfs>
  <cellXfs count="428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6" fontId="7" fillId="0" borderId="6" xfId="73" applyNumberFormat="1" applyFont="1" applyFill="1" applyBorder="1" applyAlignment="1" applyProtection="1">
      <alignment horizontal="right" vertical="center"/>
      <protection hidden="1"/>
    </xf>
    <xf numFmtId="166" fontId="7" fillId="0" borderId="7" xfId="73" applyNumberFormat="1" applyFont="1" applyFill="1" applyBorder="1" applyAlignment="1" applyProtection="1">
      <alignment vertical="center"/>
      <protection hidden="1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166" fontId="7" fillId="0" borderId="9" xfId="73" applyNumberFormat="1" applyFont="1" applyFill="1" applyBorder="1" applyAlignment="1" applyProtection="1">
      <alignment vertical="center"/>
      <protection hidden="1"/>
    </xf>
    <xf numFmtId="166" fontId="7" fillId="0" borderId="10" xfId="73" applyNumberFormat="1" applyFont="1" applyFill="1" applyBorder="1" applyAlignment="1" applyProtection="1">
      <alignment vertical="center"/>
      <protection hidden="1"/>
    </xf>
    <xf numFmtId="0" fontId="6" fillId="0" borderId="9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7" fillId="0" borderId="12" xfId="73" applyNumberFormat="1" applyFont="1" applyFill="1" applyBorder="1" applyAlignment="1" applyProtection="1">
      <alignment vertical="center"/>
      <protection hidden="1"/>
    </xf>
    <xf numFmtId="0" fontId="6" fillId="0" borderId="13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166" fontId="8" fillId="0" borderId="0" xfId="73" applyNumberFormat="1" applyFont="1" applyFill="1" applyBorder="1" applyProtection="1">
      <protection hidden="1"/>
    </xf>
    <xf numFmtId="0" fontId="5" fillId="0" borderId="0" xfId="0" applyFont="1" applyBorder="1"/>
    <xf numFmtId="166" fontId="8" fillId="4" borderId="14" xfId="73" applyNumberFormat="1" applyFont="1" applyFill="1" applyBorder="1" applyProtection="1">
      <protection hidden="1"/>
    </xf>
    <xf numFmtId="166" fontId="8" fillId="4" borderId="15" xfId="73" applyNumberFormat="1" applyFont="1" applyFill="1" applyBorder="1" applyProtection="1">
      <protection hidden="1"/>
    </xf>
    <xf numFmtId="0" fontId="5" fillId="4" borderId="15" xfId="0" applyFont="1" applyFill="1" applyBorder="1"/>
    <xf numFmtId="0" fontId="9" fillId="5" borderId="16" xfId="0" applyFont="1" applyFill="1" applyBorder="1" applyAlignment="1">
      <alignment horizontal="left"/>
    </xf>
    <xf numFmtId="0" fontId="4" fillId="0" borderId="17" xfId="0" applyFont="1" applyBorder="1"/>
    <xf numFmtId="0" fontId="4" fillId="0" borderId="0" xfId="0" applyFont="1" applyBorder="1"/>
    <xf numFmtId="0" fontId="5" fillId="0" borderId="18" xfId="0" applyFont="1" applyBorder="1"/>
    <xf numFmtId="0" fontId="4" fillId="0" borderId="10" xfId="0" applyFont="1" applyBorder="1"/>
    <xf numFmtId="0" fontId="0" fillId="0" borderId="19" xfId="0" applyBorder="1"/>
    <xf numFmtId="0" fontId="0" fillId="0" borderId="0" xfId="0" applyBorder="1"/>
    <xf numFmtId="166" fontId="4" fillId="0" borderId="17" xfId="73" applyNumberFormat="1" applyFont="1" applyBorder="1"/>
    <xf numFmtId="0" fontId="5" fillId="0" borderId="10" xfId="0" applyFont="1" applyBorder="1"/>
    <xf numFmtId="0" fontId="4" fillId="0" borderId="20" xfId="0" applyFont="1" applyBorder="1" applyAlignment="1">
      <alignment vertical="center"/>
    </xf>
    <xf numFmtId="0" fontId="5" fillId="2" borderId="18" xfId="0" applyFont="1" applyFill="1" applyBorder="1"/>
    <xf numFmtId="0" fontId="5" fillId="2" borderId="10" xfId="0" applyFont="1" applyFill="1" applyBorder="1"/>
    <xf numFmtId="0" fontId="4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4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4" fillId="0" borderId="26" xfId="0" applyFont="1" applyBorder="1"/>
    <xf numFmtId="0" fontId="4" fillId="0" borderId="19" xfId="0" applyFont="1" applyBorder="1"/>
    <xf numFmtId="0" fontId="10" fillId="0" borderId="0" xfId="0" applyFont="1" applyBorder="1"/>
    <xf numFmtId="0" fontId="0" fillId="0" borderId="17" xfId="0" applyBorder="1"/>
    <xf numFmtId="0" fontId="5" fillId="6" borderId="19" xfId="0" applyFont="1" applyFill="1" applyBorder="1"/>
    <xf numFmtId="0" fontId="5" fillId="6" borderId="0" xfId="0" applyFont="1" applyFill="1" applyBorder="1"/>
    <xf numFmtId="0" fontId="4" fillId="0" borderId="27" xfId="0" applyFont="1" applyBorder="1"/>
    <xf numFmtId="0" fontId="4" fillId="0" borderId="28" xfId="0" applyFont="1" applyBorder="1"/>
    <xf numFmtId="0" fontId="11" fillId="0" borderId="29" xfId="0" applyFont="1" applyBorder="1"/>
    <xf numFmtId="0" fontId="12" fillId="0" borderId="30" xfId="0" applyFont="1" applyBorder="1"/>
    <xf numFmtId="0" fontId="11" fillId="0" borderId="31" xfId="0" applyFont="1" applyBorder="1"/>
    <xf numFmtId="0" fontId="12" fillId="0" borderId="32" xfId="0" applyFont="1" applyBorder="1"/>
    <xf numFmtId="0" fontId="11" fillId="3" borderId="18" xfId="0" applyFont="1" applyFill="1" applyBorder="1"/>
    <xf numFmtId="0" fontId="11" fillId="3" borderId="33" xfId="0" applyFont="1" applyFill="1" applyBorder="1"/>
    <xf numFmtId="0" fontId="4" fillId="4" borderId="34" xfId="0" applyFont="1" applyFill="1" applyBorder="1"/>
    <xf numFmtId="0" fontId="4" fillId="4" borderId="35" xfId="0" applyFont="1" applyFill="1" applyBorder="1"/>
    <xf numFmtId="166" fontId="19" fillId="0" borderId="6" xfId="73" applyNumberFormat="1" applyFont="1" applyBorder="1" applyAlignment="1">
      <alignment vertical="center"/>
    </xf>
    <xf numFmtId="10" fontId="7" fillId="0" borderId="6" xfId="72" applyNumberFormat="1" applyFont="1" applyFill="1" applyBorder="1" applyAlignment="1" applyProtection="1">
      <alignment vertical="center"/>
      <protection hidden="1"/>
    </xf>
    <xf numFmtId="166" fontId="7" fillId="0" borderId="6" xfId="73" applyNumberFormat="1" applyFont="1" applyFill="1" applyBorder="1" applyAlignment="1" applyProtection="1">
      <alignment vertical="center"/>
      <protection hidden="1"/>
    </xf>
    <xf numFmtId="166" fontId="19" fillId="0" borderId="9" xfId="73" applyNumberFormat="1" applyFont="1" applyBorder="1" applyAlignment="1">
      <alignment vertical="center"/>
    </xf>
    <xf numFmtId="10" fontId="7" fillId="0" borderId="9" xfId="72" applyNumberFormat="1" applyFont="1" applyFill="1" applyBorder="1" applyAlignment="1" applyProtection="1">
      <alignment vertical="center"/>
      <protection hidden="1"/>
    </xf>
    <xf numFmtId="166" fontId="19" fillId="0" borderId="13" xfId="73" applyNumberFormat="1" applyFont="1" applyBorder="1" applyAlignment="1">
      <alignment vertical="center"/>
    </xf>
    <xf numFmtId="10" fontId="7" fillId="0" borderId="13" xfId="72" applyNumberFormat="1" applyFont="1" applyFill="1" applyBorder="1" applyAlignment="1" applyProtection="1">
      <alignment vertical="center"/>
      <protection hidden="1"/>
    </xf>
    <xf numFmtId="166" fontId="7" fillId="0" borderId="13" xfId="73" applyNumberFormat="1" applyFont="1" applyFill="1" applyBorder="1" applyAlignment="1" applyProtection="1">
      <alignment vertical="center"/>
      <protection hidden="1"/>
    </xf>
    <xf numFmtId="166" fontId="4" fillId="0" borderId="0" xfId="73" applyNumberFormat="1" applyFont="1" applyBorder="1"/>
    <xf numFmtId="10" fontId="8" fillId="0" borderId="30" xfId="72" applyNumberFormat="1" applyFont="1" applyFill="1" applyBorder="1" applyProtection="1">
      <protection hidden="1"/>
    </xf>
    <xf numFmtId="166" fontId="4" fillId="0" borderId="30" xfId="73" applyNumberFormat="1" applyFont="1" applyBorder="1"/>
    <xf numFmtId="166" fontId="8" fillId="0" borderId="30" xfId="73" applyNumberFormat="1" applyFont="1" applyFill="1" applyBorder="1" applyProtection="1">
      <protection hidden="1"/>
    </xf>
    <xf numFmtId="166" fontId="4" fillId="4" borderId="15" xfId="73" applyNumberFormat="1" applyFont="1" applyFill="1" applyBorder="1"/>
    <xf numFmtId="0" fontId="4" fillId="4" borderId="15" xfId="0" applyFont="1" applyFill="1" applyBorder="1"/>
    <xf numFmtId="0" fontId="4" fillId="0" borderId="36" xfId="0" applyFont="1" applyBorder="1"/>
    <xf numFmtId="0" fontId="4" fillId="2" borderId="10" xfId="0" applyFont="1" applyFill="1" applyBorder="1"/>
    <xf numFmtId="0" fontId="5" fillId="8" borderId="26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4" fillId="0" borderId="33" xfId="0" applyFont="1" applyBorder="1"/>
    <xf numFmtId="0" fontId="4" fillId="0" borderId="37" xfId="0" applyFont="1" applyBorder="1"/>
    <xf numFmtId="166" fontId="4" fillId="0" borderId="22" xfId="73" applyNumberFormat="1" applyFont="1" applyBorder="1"/>
    <xf numFmtId="166" fontId="4" fillId="3" borderId="22" xfId="73" applyNumberFormat="1" applyFont="1" applyFill="1" applyBorder="1"/>
    <xf numFmtId="166" fontId="4" fillId="0" borderId="25" xfId="73" applyNumberFormat="1" applyFont="1" applyBorder="1"/>
    <xf numFmtId="166" fontId="4" fillId="3" borderId="25" xfId="73" applyNumberFormat="1" applyFont="1" applyFill="1" applyBorder="1"/>
    <xf numFmtId="0" fontId="4" fillId="0" borderId="30" xfId="0" applyFont="1" applyBorder="1"/>
    <xf numFmtId="0" fontId="4" fillId="0" borderId="32" xfId="0" applyFont="1" applyBorder="1"/>
    <xf numFmtId="0" fontId="5" fillId="3" borderId="2" xfId="0" applyFont="1" applyFill="1" applyBorder="1" applyAlignment="1">
      <alignment horizontal="center"/>
    </xf>
    <xf numFmtId="0" fontId="4" fillId="4" borderId="38" xfId="0" applyFont="1" applyFill="1" applyBorder="1"/>
    <xf numFmtId="0" fontId="4" fillId="0" borderId="39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166" fontId="5" fillId="9" borderId="40" xfId="73" applyNumberFormat="1" applyFont="1" applyFill="1" applyBorder="1"/>
    <xf numFmtId="166" fontId="20" fillId="10" borderId="0" xfId="57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166" fontId="5" fillId="12" borderId="40" xfId="73" applyNumberFormat="1" applyFont="1" applyFill="1" applyBorder="1"/>
    <xf numFmtId="166" fontId="4" fillId="0" borderId="39" xfId="73" applyNumberFormat="1" applyFont="1" applyBorder="1"/>
    <xf numFmtId="166" fontId="5" fillId="6" borderId="40" xfId="0" applyNumberFormat="1" applyFont="1" applyFill="1" applyBorder="1"/>
    <xf numFmtId="166" fontId="4" fillId="0" borderId="41" xfId="73" applyNumberFormat="1" applyFont="1" applyBorder="1"/>
    <xf numFmtId="0" fontId="5" fillId="10" borderId="42" xfId="0" applyFont="1" applyFill="1" applyBorder="1"/>
    <xf numFmtId="0" fontId="21" fillId="0" borderId="0" xfId="0" applyFont="1"/>
    <xf numFmtId="166" fontId="5" fillId="8" borderId="40" xfId="73" applyNumberFormat="1" applyFont="1" applyFill="1" applyBorder="1" applyAlignment="1">
      <alignment horizontal="center"/>
    </xf>
    <xf numFmtId="166" fontId="4" fillId="13" borderId="43" xfId="73" applyNumberFormat="1" applyFont="1" applyFill="1" applyBorder="1"/>
    <xf numFmtId="166" fontId="4" fillId="13" borderId="44" xfId="73" applyNumberFormat="1" applyFont="1" applyFill="1" applyBorder="1"/>
    <xf numFmtId="43" fontId="4" fillId="0" borderId="0" xfId="0" applyNumberFormat="1" applyFont="1"/>
    <xf numFmtId="0" fontId="0" fillId="0" borderId="39" xfId="0" applyBorder="1"/>
    <xf numFmtId="166" fontId="5" fillId="6" borderId="39" xfId="0" applyNumberFormat="1" applyFont="1" applyFill="1" applyBorder="1"/>
    <xf numFmtId="166" fontId="5" fillId="0" borderId="45" xfId="0" applyNumberFormat="1" applyFont="1" applyBorder="1"/>
    <xf numFmtId="166" fontId="5" fillId="0" borderId="46" xfId="0" applyNumberFormat="1" applyFont="1" applyBorder="1"/>
    <xf numFmtId="166" fontId="5" fillId="0" borderId="47" xfId="0" applyNumberFormat="1" applyFont="1" applyBorder="1"/>
    <xf numFmtId="0" fontId="5" fillId="0" borderId="48" xfId="0" applyFont="1" applyBorder="1" applyAlignment="1">
      <alignment horizontal="center"/>
    </xf>
    <xf numFmtId="166" fontId="5" fillId="3" borderId="49" xfId="73" applyNumberFormat="1" applyFont="1" applyFill="1" applyBorder="1"/>
    <xf numFmtId="0" fontId="4" fillId="4" borderId="50" xfId="0" applyFont="1" applyFill="1" applyBorder="1"/>
    <xf numFmtId="166" fontId="0" fillId="0" borderId="0" xfId="73" applyNumberFormat="1" applyFont="1"/>
    <xf numFmtId="0" fontId="22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4" xfId="0" applyFont="1" applyFill="1" applyBorder="1" applyAlignment="1">
      <alignment horizontal="center"/>
    </xf>
    <xf numFmtId="0" fontId="25" fillId="0" borderId="4" xfId="57" applyFont="1" applyBorder="1" applyAlignment="1">
      <alignment horizontal="center" vertical="center" wrapText="1"/>
    </xf>
    <xf numFmtId="169" fontId="24" fillId="0" borderId="4" xfId="112" applyNumberFormat="1" applyFont="1" applyFill="1" applyBorder="1" applyAlignment="1">
      <alignment horizontal="left" vertical="center"/>
    </xf>
    <xf numFmtId="165" fontId="24" fillId="0" borderId="4" xfId="0" applyNumberFormat="1" applyFont="1" applyFill="1" applyBorder="1"/>
    <xf numFmtId="169" fontId="24" fillId="0" borderId="4" xfId="36" applyNumberFormat="1" applyFont="1" applyFill="1" applyBorder="1" applyAlignment="1">
      <alignment horizontal="left" vertical="center" wrapText="1"/>
    </xf>
    <xf numFmtId="166" fontId="25" fillId="0" borderId="4" xfId="73" applyNumberFormat="1" applyFont="1" applyBorder="1" applyAlignment="1">
      <alignment horizontal="center" vertical="center" wrapText="1"/>
    </xf>
    <xf numFmtId="165" fontId="24" fillId="0" borderId="4" xfId="73" applyNumberFormat="1" applyFont="1" applyFill="1" applyBorder="1"/>
    <xf numFmtId="166" fontId="24" fillId="0" borderId="4" xfId="73" applyNumberFormat="1" applyFont="1" applyFill="1" applyBorder="1"/>
    <xf numFmtId="0" fontId="23" fillId="14" borderId="4" xfId="0" applyFont="1" applyFill="1" applyBorder="1" applyAlignment="1">
      <alignment horizontal="center" vertical="center" wrapText="1"/>
    </xf>
    <xf numFmtId="0" fontId="23" fillId="16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6" fontId="23" fillId="4" borderId="4" xfId="73" applyNumberFormat="1" applyFont="1" applyFill="1" applyBorder="1" applyAlignment="1">
      <alignment horizontal="center" vertical="center" wrapText="1"/>
    </xf>
    <xf numFmtId="166" fontId="25" fillId="16" borderId="4" xfId="73" applyNumberFormat="1" applyFont="1" applyFill="1" applyBorder="1"/>
    <xf numFmtId="0" fontId="23" fillId="4" borderId="4" xfId="0" applyFont="1" applyFill="1" applyBorder="1" applyAlignment="1">
      <alignment horizontal="center" vertical="center" wrapText="1"/>
    </xf>
    <xf numFmtId="166" fontId="27" fillId="18" borderId="4" xfId="73" applyNumberFormat="1" applyFont="1" applyFill="1" applyBorder="1"/>
    <xf numFmtId="0" fontId="27" fillId="18" borderId="4" xfId="0" applyFont="1" applyFill="1" applyBorder="1"/>
    <xf numFmtId="10" fontId="27" fillId="18" borderId="4" xfId="72" applyNumberFormat="1" applyFont="1" applyFill="1" applyBorder="1"/>
    <xf numFmtId="164" fontId="0" fillId="0" borderId="0" xfId="73" applyNumberFormat="1" applyFont="1"/>
    <xf numFmtId="0" fontId="25" fillId="0" borderId="4" xfId="57" applyFont="1" applyBorder="1" applyAlignment="1" applyProtection="1">
      <alignment horizontal="center" vertical="center" wrapText="1"/>
    </xf>
    <xf numFmtId="0" fontId="27" fillId="0" borderId="4" xfId="62" applyNumberFormat="1" applyFont="1" applyFill="1" applyBorder="1" applyAlignment="1">
      <alignment horizontal="left" vertical="center" wrapText="1"/>
    </xf>
    <xf numFmtId="169" fontId="27" fillId="0" borderId="4" xfId="0" applyNumberFormat="1" applyFont="1" applyBorder="1" applyAlignment="1">
      <alignment horizontal="left"/>
    </xf>
    <xf numFmtId="165" fontId="34" fillId="0" borderId="52" xfId="0" applyNumberFormat="1" applyFont="1" applyBorder="1"/>
    <xf numFmtId="0" fontId="22" fillId="0" borderId="1" xfId="0" applyFont="1" applyBorder="1" applyAlignment="1">
      <alignment vertical="center"/>
    </xf>
    <xf numFmtId="166" fontId="0" fillId="0" borderId="0" xfId="0" applyNumberFormat="1"/>
    <xf numFmtId="164" fontId="0" fillId="0" borderId="0" xfId="0" applyNumberFormat="1"/>
    <xf numFmtId="170" fontId="25" fillId="16" borderId="4" xfId="73" applyNumberFormat="1" applyFont="1" applyFill="1" applyBorder="1"/>
    <xf numFmtId="171" fontId="27" fillId="10" borderId="4" xfId="0" applyNumberFormat="1" applyFont="1" applyFill="1" applyBorder="1" applyAlignment="1">
      <alignment horizontal="right" vertical="center"/>
    </xf>
    <xf numFmtId="0" fontId="35" fillId="0" borderId="0" xfId="0" applyFont="1"/>
    <xf numFmtId="0" fontId="35" fillId="0" borderId="0" xfId="0" applyFont="1" applyAlignment="1">
      <alignment horizontal="left" vertical="center"/>
    </xf>
    <xf numFmtId="0" fontId="29" fillId="0" borderId="0" xfId="0" applyFont="1"/>
    <xf numFmtId="0" fontId="37" fillId="24" borderId="4" xfId="0" applyFont="1" applyFill="1" applyBorder="1"/>
    <xf numFmtId="0" fontId="37" fillId="24" borderId="4" xfId="0" applyFont="1" applyFill="1" applyBorder="1" applyAlignment="1">
      <alignment horizontal="right" vertical="center"/>
    </xf>
    <xf numFmtId="166" fontId="37" fillId="24" borderId="4" xfId="73" applyNumberFormat="1" applyFont="1" applyFill="1" applyBorder="1"/>
    <xf numFmtId="0" fontId="37" fillId="0" borderId="0" xfId="0" applyFont="1"/>
    <xf numFmtId="0" fontId="39" fillId="0" borderId="0" xfId="0" applyFont="1"/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 applyFill="1" applyAlignment="1">
      <alignment horizontal="left"/>
    </xf>
    <xf numFmtId="0" fontId="39" fillId="0" borderId="0" xfId="0" applyFont="1" applyFill="1"/>
    <xf numFmtId="0" fontId="41" fillId="22" borderId="53" xfId="0" applyFont="1" applyFill="1" applyBorder="1" applyAlignment="1">
      <alignment vertical="center" wrapText="1"/>
    </xf>
    <xf numFmtId="172" fontId="42" fillId="23" borderId="5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2" fillId="23" borderId="54" xfId="0" applyFont="1" applyFill="1" applyBorder="1" applyAlignment="1">
      <alignment horizontal="left" vertical="center"/>
    </xf>
    <xf numFmtId="0" fontId="41" fillId="22" borderId="55" xfId="0" applyFont="1" applyFill="1" applyBorder="1" applyAlignment="1">
      <alignment vertical="center" wrapText="1"/>
    </xf>
    <xf numFmtId="0" fontId="42" fillId="23" borderId="56" xfId="0" applyFont="1" applyFill="1" applyBorder="1" applyAlignment="1">
      <alignment horizontal="left" vertical="center" wrapText="1"/>
    </xf>
    <xf numFmtId="0" fontId="42" fillId="23" borderId="56" xfId="0" applyFont="1" applyFill="1" applyBorder="1" applyAlignment="1">
      <alignment horizontal="left" vertical="center"/>
    </xf>
    <xf numFmtId="173" fontId="42" fillId="23" borderId="56" xfId="0" applyNumberFormat="1" applyFont="1" applyFill="1" applyBorder="1" applyAlignment="1">
      <alignment horizontal="left" vertical="center"/>
    </xf>
    <xf numFmtId="0" fontId="41" fillId="22" borderId="57" xfId="0" applyFont="1" applyFill="1" applyBorder="1" applyAlignment="1">
      <alignment vertical="center" wrapText="1"/>
    </xf>
    <xf numFmtId="0" fontId="42" fillId="23" borderId="58" xfId="0" applyFont="1" applyFill="1" applyBorder="1" applyAlignment="1">
      <alignment horizontal="left" vertical="center" wrapText="1"/>
    </xf>
    <xf numFmtId="0" fontId="3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23" borderId="4" xfId="0" applyFont="1" applyFill="1" applyBorder="1" applyAlignment="1">
      <alignment vertical="center" wrapText="1"/>
    </xf>
    <xf numFmtId="0" fontId="3" fillId="23" borderId="4" xfId="0" applyFont="1" applyFill="1" applyBorder="1" applyAlignment="1">
      <alignment horizontal="right" vertical="center" wrapText="1"/>
    </xf>
    <xf numFmtId="0" fontId="3" fillId="25" borderId="4" xfId="0" applyFont="1" applyFill="1" applyBorder="1" applyAlignment="1">
      <alignment horizontal="left" vertical="center"/>
    </xf>
    <xf numFmtId="166" fontId="3" fillId="25" borderId="4" xfId="73" applyNumberFormat="1" applyFont="1" applyFill="1" applyBorder="1" applyAlignment="1">
      <alignment horizontal="left" vertical="center"/>
    </xf>
    <xf numFmtId="0" fontId="3" fillId="25" borderId="4" xfId="0" applyFont="1" applyFill="1" applyBorder="1" applyAlignment="1">
      <alignment horizontal="left" vertical="center" wrapText="1"/>
    </xf>
    <xf numFmtId="0" fontId="3" fillId="25" borderId="4" xfId="0" applyFont="1" applyFill="1" applyBorder="1"/>
    <xf numFmtId="166" fontId="3" fillId="25" borderId="4" xfId="73" applyNumberFormat="1" applyFont="1" applyFill="1" applyBorder="1" applyAlignment="1"/>
    <xf numFmtId="0" fontId="43" fillId="0" borderId="0" xfId="0" applyFont="1"/>
    <xf numFmtId="3" fontId="39" fillId="0" borderId="0" xfId="0" applyNumberFormat="1" applyFont="1" applyAlignment="1">
      <alignment horizontal="left"/>
    </xf>
    <xf numFmtId="166" fontId="39" fillId="0" borderId="0" xfId="73" applyNumberFormat="1" applyFont="1" applyBorder="1" applyAlignment="1">
      <alignment horizontal="left"/>
    </xf>
    <xf numFmtId="166" fontId="39" fillId="0" borderId="0" xfId="73" applyNumberFormat="1" applyFont="1" applyAlignment="1">
      <alignment horizontal="left"/>
    </xf>
    <xf numFmtId="166" fontId="39" fillId="0" borderId="0" xfId="73" applyNumberFormat="1" applyFont="1"/>
    <xf numFmtId="0" fontId="34" fillId="0" borderId="4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166" fontId="3" fillId="0" borderId="4" xfId="73" applyNumberFormat="1" applyFont="1" applyBorder="1" applyAlignment="1">
      <alignment horizontal="left"/>
    </xf>
    <xf numFmtId="166" fontId="3" fillId="0" borderId="0" xfId="73" applyNumberFormat="1" applyFont="1" applyBorder="1" applyAlignment="1">
      <alignment horizontal="left"/>
    </xf>
    <xf numFmtId="166" fontId="34" fillId="0" borderId="52" xfId="73" applyNumberFormat="1" applyFont="1" applyBorder="1" applyAlignment="1">
      <alignment horizontal="left"/>
    </xf>
    <xf numFmtId="166" fontId="34" fillId="0" borderId="0" xfId="73" applyNumberFormat="1" applyFont="1" applyBorder="1" applyAlignment="1">
      <alignment horizontal="left"/>
    </xf>
    <xf numFmtId="166" fontId="34" fillId="0" borderId="4" xfId="73" applyNumberFormat="1" applyFont="1" applyBorder="1" applyAlignment="1">
      <alignment horizontal="right"/>
    </xf>
    <xf numFmtId="166" fontId="3" fillId="0" borderId="0" xfId="73" applyNumberFormat="1" applyFont="1" applyAlignment="1">
      <alignment horizontal="left"/>
    </xf>
    <xf numFmtId="166" fontId="34" fillId="0" borderId="52" xfId="73" applyNumberFormat="1" applyFont="1" applyBorder="1"/>
    <xf numFmtId="166" fontId="3" fillId="0" borderId="52" xfId="73" applyNumberFormat="1" applyFont="1" applyBorder="1"/>
    <xf numFmtId="166" fontId="3" fillId="0" borderId="0" xfId="73" applyNumberFormat="1" applyFont="1"/>
    <xf numFmtId="166" fontId="3" fillId="0" borderId="59" xfId="73" applyNumberFormat="1" applyFont="1" applyBorder="1" applyAlignment="1">
      <alignment horizontal="left"/>
    </xf>
    <xf numFmtId="0" fontId="45" fillId="10" borderId="0" xfId="0" applyFont="1" applyFill="1" applyAlignment="1">
      <alignment vertical="center"/>
    </xf>
    <xf numFmtId="0" fontId="0" fillId="10" borderId="0" xfId="0" applyFill="1"/>
    <xf numFmtId="0" fontId="46" fillId="10" borderId="0" xfId="0" applyFont="1" applyFill="1" applyAlignment="1">
      <alignment horizontal="center" vertical="center"/>
    </xf>
    <xf numFmtId="0" fontId="47" fillId="10" borderId="0" xfId="0" applyFont="1" applyFill="1" applyAlignment="1">
      <alignment vertical="center"/>
    </xf>
    <xf numFmtId="0" fontId="48" fillId="10" borderId="0" xfId="0" applyFont="1" applyFill="1"/>
    <xf numFmtId="0" fontId="50" fillId="10" borderId="0" xfId="0" applyFont="1" applyFill="1" applyAlignment="1">
      <alignment vertical="center"/>
    </xf>
    <xf numFmtId="0" fontId="52" fillId="10" borderId="4" xfId="0" applyFont="1" applyFill="1" applyBorder="1" applyAlignment="1">
      <alignment horizontal="left" vertical="center" indent="1"/>
    </xf>
    <xf numFmtId="0" fontId="52" fillId="10" borderId="4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right" vertical="center" wrapText="1"/>
    </xf>
    <xf numFmtId="0" fontId="53" fillId="10" borderId="4" xfId="0" applyFont="1" applyFill="1" applyBorder="1" applyAlignment="1">
      <alignment horizontal="left" vertical="center" indent="1"/>
    </xf>
    <xf numFmtId="0" fontId="54" fillId="10" borderId="4" xfId="0" applyFont="1" applyFill="1" applyBorder="1" applyAlignment="1">
      <alignment horizontal="left" vertical="center" indent="1"/>
    </xf>
    <xf numFmtId="0" fontId="54" fillId="10" borderId="4" xfId="0" applyFont="1" applyFill="1" applyBorder="1" applyAlignment="1">
      <alignment horizontal="right" vertical="center" wrapText="1" indent="1"/>
    </xf>
    <xf numFmtId="166" fontId="54" fillId="10" borderId="4" xfId="73" applyNumberFormat="1" applyFont="1" applyFill="1" applyBorder="1" applyAlignment="1">
      <alignment horizontal="right" vertical="center" wrapText="1"/>
    </xf>
    <xf numFmtId="15" fontId="49" fillId="10" borderId="0" xfId="0" applyNumberFormat="1" applyFont="1" applyFill="1" applyAlignment="1">
      <alignment vertical="center"/>
    </xf>
    <xf numFmtId="0" fontId="55" fillId="10" borderId="0" xfId="0" applyFont="1" applyFill="1" applyAlignment="1">
      <alignment vertical="center"/>
    </xf>
    <xf numFmtId="0" fontId="53" fillId="10" borderId="0" xfId="0" applyFont="1" applyFill="1" applyAlignment="1">
      <alignment vertical="center"/>
    </xf>
    <xf numFmtId="166" fontId="53" fillId="10" borderId="4" xfId="73" applyNumberFormat="1" applyFont="1" applyFill="1" applyBorder="1" applyAlignment="1">
      <alignment horizontal="left" vertical="center" indent="1"/>
    </xf>
    <xf numFmtId="0" fontId="30" fillId="0" borderId="0" xfId="119" applyProtection="1">
      <protection hidden="1"/>
    </xf>
    <xf numFmtId="0" fontId="56" fillId="0" borderId="0" xfId="119" applyFont="1" applyProtection="1">
      <protection hidden="1"/>
    </xf>
    <xf numFmtId="0" fontId="56" fillId="0" borderId="0" xfId="119" applyFont="1" applyAlignment="1" applyProtection="1">
      <alignment horizontal="center"/>
      <protection hidden="1"/>
    </xf>
    <xf numFmtId="0" fontId="30" fillId="0" borderId="0" xfId="119" applyFill="1" applyProtection="1">
      <protection hidden="1"/>
    </xf>
    <xf numFmtId="0" fontId="60" fillId="27" borderId="60" xfId="119" applyFont="1" applyFill="1" applyBorder="1" applyProtection="1">
      <protection hidden="1"/>
    </xf>
    <xf numFmtId="0" fontId="60" fillId="27" borderId="61" xfId="119" applyFont="1" applyFill="1" applyBorder="1" applyProtection="1">
      <protection hidden="1"/>
    </xf>
    <xf numFmtId="0" fontId="61" fillId="27" borderId="61" xfId="119" applyFont="1" applyFill="1" applyBorder="1" applyAlignment="1" applyProtection="1">
      <alignment horizontal="right"/>
      <protection hidden="1"/>
    </xf>
    <xf numFmtId="43" fontId="62" fillId="27" borderId="62" xfId="60" applyFont="1" applyFill="1" applyBorder="1" applyProtection="1">
      <protection hidden="1"/>
    </xf>
    <xf numFmtId="0" fontId="63" fillId="0" borderId="0" xfId="119" applyFont="1" applyFill="1" applyAlignment="1" applyProtection="1">
      <alignment horizontal="center" vertical="center" wrapText="1"/>
      <protection hidden="1"/>
    </xf>
    <xf numFmtId="0" fontId="56" fillId="27" borderId="63" xfId="119" applyFont="1" applyFill="1" applyBorder="1" applyAlignment="1" applyProtection="1">
      <alignment horizontal="left" vertical="center" wrapText="1"/>
      <protection hidden="1"/>
    </xf>
    <xf numFmtId="0" fontId="56" fillId="0" borderId="0" xfId="119" applyFont="1" applyFill="1" applyBorder="1" applyAlignment="1" applyProtection="1">
      <alignment horizontal="left" vertical="center" wrapText="1"/>
      <protection hidden="1"/>
    </xf>
    <xf numFmtId="0" fontId="30" fillId="0" borderId="17" xfId="119" applyBorder="1" applyProtection="1">
      <protection hidden="1"/>
    </xf>
    <xf numFmtId="0" fontId="30" fillId="0" borderId="0" xfId="119" applyBorder="1" applyProtection="1">
      <protection hidden="1"/>
    </xf>
    <xf numFmtId="0" fontId="30" fillId="0" borderId="51" xfId="119" applyBorder="1" applyProtection="1">
      <protection hidden="1"/>
    </xf>
    <xf numFmtId="0" fontId="64" fillId="0" borderId="17" xfId="119" applyFont="1" applyBorder="1" applyAlignment="1" applyProtection="1">
      <alignment horizontal="center"/>
      <protection hidden="1"/>
    </xf>
    <xf numFmtId="0" fontId="64" fillId="0" borderId="0" xfId="119" applyFont="1" applyBorder="1" applyAlignment="1" applyProtection="1">
      <alignment horizontal="center"/>
      <protection hidden="1"/>
    </xf>
    <xf numFmtId="0" fontId="64" fillId="0" borderId="51" xfId="119" applyFont="1" applyBorder="1" applyAlignment="1" applyProtection="1">
      <alignment horizontal="center"/>
      <protection hidden="1"/>
    </xf>
    <xf numFmtId="0" fontId="64" fillId="0" borderId="0" xfId="119" applyFont="1" applyAlignment="1" applyProtection="1">
      <alignment horizontal="center"/>
      <protection hidden="1"/>
    </xf>
    <xf numFmtId="0" fontId="56" fillId="28" borderId="4" xfId="119" applyFont="1" applyFill="1" applyBorder="1" applyProtection="1">
      <protection hidden="1"/>
    </xf>
    <xf numFmtId="0" fontId="56" fillId="28" borderId="4" xfId="119" applyFont="1" applyFill="1" applyBorder="1" applyAlignment="1" applyProtection="1">
      <alignment horizontal="center"/>
      <protection hidden="1"/>
    </xf>
    <xf numFmtId="0" fontId="30" fillId="28" borderId="4" xfId="119" applyFill="1" applyBorder="1" applyProtection="1">
      <protection hidden="1"/>
    </xf>
    <xf numFmtId="0" fontId="56" fillId="27" borderId="4" xfId="119" applyFont="1" applyFill="1" applyBorder="1" applyProtection="1">
      <protection hidden="1"/>
    </xf>
    <xf numFmtId="0" fontId="30" fillId="27" borderId="4" xfId="119" applyFill="1" applyBorder="1" applyProtection="1">
      <protection hidden="1"/>
    </xf>
    <xf numFmtId="166" fontId="56" fillId="28" borderId="4" xfId="60" applyNumberFormat="1" applyFont="1" applyFill="1" applyBorder="1" applyProtection="1">
      <protection hidden="1"/>
    </xf>
    <xf numFmtId="0" fontId="30" fillId="28" borderId="4" xfId="119" applyFill="1" applyBorder="1" applyAlignment="1" applyProtection="1">
      <alignment horizontal="center"/>
      <protection hidden="1"/>
    </xf>
    <xf numFmtId="166" fontId="56" fillId="27" borderId="4" xfId="60" applyNumberFormat="1" applyFont="1" applyFill="1" applyBorder="1" applyProtection="1">
      <protection hidden="1"/>
    </xf>
    <xf numFmtId="43" fontId="30" fillId="28" borderId="4" xfId="119" applyNumberFormat="1" applyFill="1" applyBorder="1" applyAlignment="1" applyProtection="1">
      <alignment horizontal="center"/>
      <protection hidden="1"/>
    </xf>
    <xf numFmtId="43" fontId="56" fillId="28" borderId="4" xfId="60" applyNumberFormat="1" applyFont="1" applyFill="1" applyBorder="1" applyProtection="1">
      <protection hidden="1"/>
    </xf>
    <xf numFmtId="43" fontId="56" fillId="27" borderId="4" xfId="60" applyNumberFormat="1" applyFont="1" applyFill="1" applyBorder="1" applyProtection="1">
      <protection hidden="1"/>
    </xf>
    <xf numFmtId="166" fontId="30" fillId="27" borderId="4" xfId="60" applyNumberFormat="1" applyFill="1" applyBorder="1" applyProtection="1">
      <protection hidden="1"/>
    </xf>
    <xf numFmtId="0" fontId="56" fillId="0" borderId="0" xfId="119" applyFont="1" applyBorder="1" applyProtection="1">
      <protection hidden="1"/>
    </xf>
    <xf numFmtId="0" fontId="56" fillId="0" borderId="0" xfId="119" applyFont="1" applyBorder="1" applyAlignment="1" applyProtection="1">
      <alignment horizontal="center"/>
      <protection hidden="1"/>
    </xf>
    <xf numFmtId="43" fontId="30" fillId="0" borderId="0" xfId="119" applyNumberFormat="1" applyBorder="1" applyProtection="1">
      <protection hidden="1"/>
    </xf>
    <xf numFmtId="43" fontId="56" fillId="0" borderId="0" xfId="60" applyFont="1" applyBorder="1" applyProtection="1">
      <protection hidden="1"/>
    </xf>
    <xf numFmtId="176" fontId="30" fillId="0" borderId="0" xfId="119" applyNumberFormat="1" applyBorder="1" applyProtection="1">
      <protection hidden="1"/>
    </xf>
    <xf numFmtId="0" fontId="30" fillId="0" borderId="31" xfId="119" applyBorder="1" applyProtection="1">
      <protection hidden="1"/>
    </xf>
    <xf numFmtId="0" fontId="30" fillId="0" borderId="32" xfId="119" applyBorder="1" applyProtection="1">
      <protection hidden="1"/>
    </xf>
    <xf numFmtId="177" fontId="30" fillId="0" borderId="32" xfId="119" applyNumberFormat="1" applyBorder="1" applyProtection="1">
      <protection hidden="1"/>
    </xf>
    <xf numFmtId="0" fontId="30" fillId="0" borderId="48" xfId="119" applyBorder="1" applyProtection="1">
      <protection hidden="1"/>
    </xf>
    <xf numFmtId="43" fontId="30" fillId="0" borderId="0" xfId="119" applyNumberFormat="1" applyProtection="1">
      <protection hidden="1"/>
    </xf>
    <xf numFmtId="0" fontId="56" fillId="0" borderId="0" xfId="121" applyFont="1" applyFill="1"/>
    <xf numFmtId="0" fontId="65" fillId="0" borderId="0" xfId="121"/>
    <xf numFmtId="166" fontId="0" fillId="0" borderId="0" xfId="122" applyNumberFormat="1" applyFont="1"/>
    <xf numFmtId="2" fontId="56" fillId="0" borderId="0" xfId="121" applyNumberFormat="1" applyFont="1" applyFill="1" applyAlignment="1">
      <alignment vertical="top"/>
    </xf>
    <xf numFmtId="0" fontId="56" fillId="0" borderId="0" xfId="121" applyFont="1" applyFill="1" applyAlignment="1"/>
    <xf numFmtId="0" fontId="65" fillId="0" borderId="0" xfId="121" applyAlignment="1"/>
    <xf numFmtId="166" fontId="0" fillId="0" borderId="0" xfId="122" applyNumberFormat="1" applyFont="1" applyAlignment="1"/>
    <xf numFmtId="0" fontId="56" fillId="0" borderId="0" xfId="121" applyFont="1" applyFill="1" applyAlignment="1">
      <alignment horizontal="center"/>
    </xf>
    <xf numFmtId="0" fontId="30" fillId="0" borderId="0" xfId="121" applyFont="1" applyFill="1"/>
    <xf numFmtId="175" fontId="56" fillId="0" borderId="0" xfId="121" applyNumberFormat="1" applyFont="1" applyFill="1"/>
    <xf numFmtId="0" fontId="65" fillId="0" borderId="0" xfId="121" applyBorder="1"/>
    <xf numFmtId="166" fontId="0" fillId="0" borderId="0" xfId="122" applyNumberFormat="1" applyFont="1" applyBorder="1"/>
    <xf numFmtId="43" fontId="0" fillId="0" borderId="0" xfId="122" applyFont="1"/>
    <xf numFmtId="43" fontId="65" fillId="0" borderId="0" xfId="121" applyNumberFormat="1"/>
    <xf numFmtId="0" fontId="57" fillId="0" borderId="0" xfId="121" applyFont="1"/>
    <xf numFmtId="0" fontId="58" fillId="0" borderId="0" xfId="121" applyFont="1" applyAlignment="1">
      <alignment vertical="center"/>
    </xf>
    <xf numFmtId="0" fontId="59" fillId="0" borderId="0" xfId="123" applyAlignment="1" applyProtection="1">
      <alignment vertical="center"/>
    </xf>
    <xf numFmtId="0" fontId="30" fillId="0" borderId="0" xfId="121" applyFont="1"/>
    <xf numFmtId="169" fontId="27" fillId="14" borderId="4" xfId="0" applyNumberFormat="1" applyFont="1" applyFill="1" applyBorder="1" applyAlignment="1">
      <alignment horizontal="left"/>
    </xf>
    <xf numFmtId="166" fontId="0" fillId="10" borderId="0" xfId="73" applyNumberFormat="1" applyFont="1" applyFill="1"/>
    <xf numFmtId="166" fontId="34" fillId="10" borderId="0" xfId="73" applyNumberFormat="1" applyFont="1" applyFill="1"/>
    <xf numFmtId="0" fontId="2" fillId="10" borderId="0" xfId="0" applyFont="1" applyFill="1"/>
    <xf numFmtId="166" fontId="0" fillId="10" borderId="0" xfId="0" applyNumberFormat="1" applyFill="1"/>
    <xf numFmtId="0" fontId="53" fillId="0" borderId="4" xfId="0" applyFont="1" applyFill="1" applyBorder="1" applyAlignment="1">
      <alignment horizontal="left" vertical="center" indent="1"/>
    </xf>
    <xf numFmtId="1" fontId="53" fillId="10" borderId="4" xfId="0" quotePrefix="1" applyNumberFormat="1" applyFont="1" applyFill="1" applyBorder="1" applyAlignment="1">
      <alignment horizontal="center" vertical="center"/>
    </xf>
    <xf numFmtId="1" fontId="53" fillId="10" borderId="4" xfId="0" applyNumberFormat="1" applyFont="1" applyFill="1" applyBorder="1" applyAlignment="1">
      <alignment horizontal="center" vertical="center"/>
    </xf>
    <xf numFmtId="169" fontId="27" fillId="14" borderId="0" xfId="0" applyNumberFormat="1" applyFont="1" applyFill="1" applyBorder="1" applyAlignment="1">
      <alignment horizontal="left"/>
    </xf>
    <xf numFmtId="1" fontId="53" fillId="14" borderId="4" xfId="0" quotePrefix="1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/>
    </xf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66" fontId="1" fillId="0" borderId="0" xfId="73" applyNumberFormat="1" applyFont="1"/>
    <xf numFmtId="0" fontId="1" fillId="14" borderId="0" xfId="0" applyFont="1" applyFill="1" applyAlignment="1">
      <alignment horizontal="center"/>
    </xf>
    <xf numFmtId="166" fontId="1" fillId="0" borderId="0" xfId="0" applyNumberFormat="1" applyFont="1"/>
    <xf numFmtId="164" fontId="1" fillId="0" borderId="0" xfId="0" applyNumberFormat="1" applyFont="1"/>
    <xf numFmtId="0" fontId="1" fillId="31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42" fillId="0" borderId="0" xfId="105" applyFont="1" applyFill="1" applyBorder="1" applyAlignment="1">
      <alignment horizontal="left" vertical="center"/>
    </xf>
    <xf numFmtId="0" fontId="1" fillId="30" borderId="4" xfId="62" applyFont="1" applyFill="1" applyBorder="1" applyAlignment="1">
      <alignment horizontal="center" vertical="center" wrapText="1"/>
    </xf>
    <xf numFmtId="167" fontId="42" fillId="32" borderId="4" xfId="39" applyFont="1" applyFill="1" applyBorder="1" applyAlignment="1">
      <alignment horizontal="left" vertical="center"/>
    </xf>
    <xf numFmtId="0" fontId="56" fillId="0" borderId="4" xfId="115" applyFont="1" applyBorder="1" applyAlignment="1">
      <alignment vertical="center"/>
    </xf>
    <xf numFmtId="0" fontId="56" fillId="0" borderId="4" xfId="115" applyFont="1" applyBorder="1" applyAlignment="1">
      <alignment horizontal="center" vertical="center"/>
    </xf>
    <xf numFmtId="0" fontId="56" fillId="0" borderId="2" xfId="115" applyFont="1" applyBorder="1" applyAlignment="1">
      <alignment horizontal="center" vertical="center"/>
    </xf>
    <xf numFmtId="0" fontId="66" fillId="0" borderId="4" xfId="0" applyFont="1" applyBorder="1" applyAlignment="1">
      <alignment horizontal="center" vertical="center"/>
    </xf>
    <xf numFmtId="0" fontId="20" fillId="0" borderId="0" xfId="0" applyFont="1"/>
    <xf numFmtId="0" fontId="56" fillId="8" borderId="4" xfId="57" applyFont="1" applyFill="1" applyBorder="1" applyAlignment="1" applyProtection="1">
      <alignment horizontal="center" vertical="center" wrapText="1"/>
    </xf>
    <xf numFmtId="0" fontId="56" fillId="8" borderId="4" xfId="81" applyFont="1" applyFill="1" applyBorder="1" applyAlignment="1">
      <alignment horizontal="center" vertical="center" wrapText="1"/>
    </xf>
    <xf numFmtId="168" fontId="56" fillId="8" borderId="4" xfId="78" applyFont="1" applyFill="1" applyBorder="1" applyAlignment="1" applyProtection="1">
      <alignment horizontal="center" vertical="center" wrapText="1"/>
    </xf>
    <xf numFmtId="169" fontId="56" fillId="8" borderId="4" xfId="81" applyNumberFormat="1" applyFont="1" applyFill="1" applyBorder="1" applyAlignment="1">
      <alignment horizontal="left" vertical="center" wrapText="1"/>
    </xf>
    <xf numFmtId="0" fontId="56" fillId="8" borderId="4" xfId="119" applyFont="1" applyFill="1" applyBorder="1" applyAlignment="1">
      <alignment horizontal="center" vertical="center" wrapText="1"/>
    </xf>
    <xf numFmtId="1" fontId="56" fillId="8" borderId="4" xfId="115" applyNumberFormat="1" applyFont="1" applyFill="1" applyBorder="1" applyAlignment="1">
      <alignment horizontal="left" vertical="center" wrapText="1"/>
    </xf>
    <xf numFmtId="0" fontId="56" fillId="14" borderId="4" xfId="57" applyFont="1" applyFill="1" applyBorder="1" applyAlignment="1" applyProtection="1">
      <alignment horizontal="center" vertical="center" wrapText="1"/>
    </xf>
    <xf numFmtId="166" fontId="56" fillId="8" borderId="4" xfId="120" applyNumberFormat="1" applyFont="1" applyFill="1" applyBorder="1" applyAlignment="1">
      <alignment horizontal="center" vertical="center" wrapText="1"/>
    </xf>
    <xf numFmtId="0" fontId="30" fillId="0" borderId="4" xfId="57" applyFont="1" applyBorder="1" applyAlignment="1" applyProtection="1">
      <alignment horizontal="center" vertical="center"/>
    </xf>
    <xf numFmtId="17" fontId="30" fillId="0" borderId="4" xfId="81" applyNumberFormat="1" applyFont="1" applyBorder="1" applyAlignment="1">
      <alignment horizontal="left" vertical="center"/>
    </xf>
    <xf numFmtId="169" fontId="20" fillId="0" borderId="4" xfId="0" applyNumberFormat="1" applyFont="1" applyBorder="1" applyAlignment="1">
      <alignment horizontal="left"/>
    </xf>
    <xf numFmtId="0" fontId="30" fillId="10" borderId="4" xfId="105" applyFont="1" applyFill="1" applyBorder="1" applyAlignment="1">
      <alignment horizontal="left" vertical="center"/>
    </xf>
    <xf numFmtId="167" fontId="30" fillId="0" borderId="4" xfId="39" applyFont="1" applyFill="1" applyBorder="1" applyAlignment="1">
      <alignment horizontal="left" vertical="center"/>
    </xf>
    <xf numFmtId="0" fontId="30" fillId="10" borderId="4" xfId="105" applyFont="1" applyFill="1" applyBorder="1" applyAlignment="1">
      <alignment horizontal="center" vertical="center"/>
    </xf>
    <xf numFmtId="0" fontId="20" fillId="30" borderId="4" xfId="62" applyFont="1" applyFill="1" applyBorder="1" applyAlignment="1">
      <alignment horizontal="left" vertical="center" wrapText="1"/>
    </xf>
    <xf numFmtId="0" fontId="30" fillId="0" borderId="4" xfId="62" applyFont="1" applyBorder="1" applyAlignment="1">
      <alignment horizontal="right" vertical="center"/>
    </xf>
    <xf numFmtId="0" fontId="20" fillId="10" borderId="4" xfId="76" applyFont="1" applyFill="1" applyBorder="1" applyAlignment="1">
      <alignment horizontal="left" vertical="center"/>
    </xf>
    <xf numFmtId="171" fontId="20" fillId="10" borderId="4" xfId="0" applyNumberFormat="1" applyFont="1" applyFill="1" applyBorder="1" applyAlignment="1">
      <alignment horizontal="right" vertical="center"/>
    </xf>
    <xf numFmtId="171" fontId="20" fillId="0" borderId="4" xfId="0" applyNumberFormat="1" applyFont="1" applyFill="1" applyBorder="1" applyAlignment="1">
      <alignment horizontal="right" vertical="center"/>
    </xf>
    <xf numFmtId="166" fontId="20" fillId="0" borderId="4" xfId="73" applyNumberFormat="1" applyFont="1" applyFill="1" applyBorder="1" applyAlignment="1">
      <alignment horizontal="left"/>
    </xf>
    <xf numFmtId="0" fontId="30" fillId="0" borderId="4" xfId="57" applyFont="1" applyBorder="1" applyAlignment="1" applyProtection="1">
      <alignment horizontal="left" vertical="center"/>
    </xf>
    <xf numFmtId="1" fontId="67" fillId="0" borderId="4" xfId="0" applyNumberFormat="1" applyFont="1" applyBorder="1" applyAlignment="1">
      <alignment horizontal="left"/>
    </xf>
    <xf numFmtId="1" fontId="30" fillId="0" borderId="4" xfId="0" applyNumberFormat="1" applyFont="1" applyBorder="1" applyAlignment="1">
      <alignment vertical="center"/>
    </xf>
    <xf numFmtId="0" fontId="30" fillId="19" borderId="4" xfId="57" applyFont="1" applyFill="1" applyBorder="1" applyAlignment="1" applyProtection="1">
      <alignment horizontal="center" vertical="center"/>
    </xf>
    <xf numFmtId="1" fontId="30" fillId="19" borderId="4" xfId="57" applyNumberFormat="1" applyFont="1" applyFill="1" applyBorder="1" applyAlignment="1" applyProtection="1">
      <alignment horizontal="right" vertical="center"/>
    </xf>
    <xf numFmtId="166" fontId="30" fillId="0" borderId="4" xfId="73" applyNumberFormat="1" applyFont="1" applyFill="1" applyBorder="1" applyAlignment="1" applyProtection="1">
      <alignment horizontal="center" vertical="center"/>
    </xf>
    <xf numFmtId="166" fontId="30" fillId="0" borderId="4" xfId="73" applyNumberFormat="1" applyFont="1" applyFill="1" applyBorder="1" applyAlignment="1"/>
    <xf numFmtId="166" fontId="30" fillId="0" borderId="4" xfId="73" applyNumberFormat="1" applyFont="1" applyBorder="1" applyAlignment="1">
      <alignment horizontal="center" vertical="center"/>
    </xf>
    <xf numFmtId="166" fontId="30" fillId="0" borderId="4" xfId="73" applyNumberFormat="1" applyFont="1" applyFill="1" applyBorder="1"/>
    <xf numFmtId="166" fontId="30" fillId="19" borderId="4" xfId="73" applyNumberFormat="1" applyFont="1" applyFill="1" applyBorder="1" applyAlignment="1">
      <alignment horizontal="center" vertical="center"/>
    </xf>
    <xf numFmtId="164" fontId="30" fillId="19" borderId="4" xfId="73" applyNumberFormat="1" applyFont="1" applyFill="1" applyBorder="1" applyAlignment="1">
      <alignment horizontal="center" vertical="center"/>
    </xf>
    <xf numFmtId="164" fontId="30" fillId="25" borderId="4" xfId="73" applyNumberFormat="1" applyFont="1" applyFill="1" applyBorder="1" applyAlignment="1">
      <alignment horizontal="center" vertical="center"/>
    </xf>
    <xf numFmtId="166" fontId="30" fillId="29" borderId="4" xfId="73" applyNumberFormat="1" applyFont="1" applyFill="1" applyBorder="1" applyAlignment="1"/>
    <xf numFmtId="0" fontId="30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66" fontId="30" fillId="14" borderId="4" xfId="73" applyNumberFormat="1" applyFont="1" applyFill="1" applyBorder="1" applyAlignment="1"/>
    <xf numFmtId="1" fontId="67" fillId="0" borderId="4" xfId="0" quotePrefix="1" applyNumberFormat="1" applyFont="1" applyBorder="1" applyAlignment="1">
      <alignment horizontal="left"/>
    </xf>
    <xf numFmtId="0" fontId="20" fillId="0" borderId="4" xfId="62" applyFont="1" applyFill="1" applyBorder="1" applyAlignment="1">
      <alignment horizontal="left" vertical="center" wrapText="1"/>
    </xf>
    <xf numFmtId="1" fontId="30" fillId="0" borderId="0" xfId="57" applyNumberFormat="1" applyFont="1" applyBorder="1" applyAlignment="1" applyProtection="1">
      <alignment horizontal="left" vertical="center"/>
    </xf>
    <xf numFmtId="1" fontId="67" fillId="0" borderId="0" xfId="0" applyNumberFormat="1" applyFont="1" applyAlignment="1">
      <alignment horizontal="left"/>
    </xf>
    <xf numFmtId="0" fontId="68" fillId="0" borderId="4" xfId="62" applyFont="1" applyFill="1" applyBorder="1" applyAlignment="1">
      <alignment horizontal="left" vertical="center" wrapText="1"/>
    </xf>
    <xf numFmtId="1" fontId="67" fillId="0" borderId="0" xfId="0" quotePrefix="1" applyNumberFormat="1" applyFont="1" applyAlignment="1">
      <alignment horizontal="left"/>
    </xf>
    <xf numFmtId="0" fontId="30" fillId="0" borderId="4" xfId="0" applyFont="1" applyFill="1" applyBorder="1" applyAlignment="1">
      <alignment horizontal="left" vertical="center"/>
    </xf>
    <xf numFmtId="169" fontId="69" fillId="0" borderId="4" xfId="0" applyNumberFormat="1" applyFont="1" applyBorder="1" applyAlignment="1">
      <alignment horizontal="left"/>
    </xf>
    <xf numFmtId="168" fontId="30" fillId="0" borderId="0" xfId="124" applyNumberFormat="1" applyFont="1"/>
    <xf numFmtId="169" fontId="20" fillId="14" borderId="4" xfId="0" applyNumberFormat="1" applyFont="1" applyFill="1" applyBorder="1" applyAlignment="1">
      <alignment horizontal="left"/>
    </xf>
    <xf numFmtId="0" fontId="30" fillId="14" borderId="4" xfId="105" applyFont="1" applyFill="1" applyBorder="1" applyAlignment="1">
      <alignment horizontal="left" vertical="center"/>
    </xf>
    <xf numFmtId="167" fontId="30" fillId="14" borderId="4" xfId="39" applyFont="1" applyFill="1" applyBorder="1" applyAlignment="1">
      <alignment horizontal="left" vertical="center"/>
    </xf>
    <xf numFmtId="0" fontId="30" fillId="14" borderId="4" xfId="105" applyFont="1" applyFill="1" applyBorder="1" applyAlignment="1">
      <alignment horizontal="center" vertical="center"/>
    </xf>
    <xf numFmtId="0" fontId="30" fillId="14" borderId="4" xfId="62" applyFont="1" applyFill="1" applyBorder="1" applyAlignment="1">
      <alignment horizontal="right" vertical="center"/>
    </xf>
    <xf numFmtId="0" fontId="20" fillId="14" borderId="4" xfId="76" applyFont="1" applyFill="1" applyBorder="1" applyAlignment="1">
      <alignment horizontal="left" vertical="center"/>
    </xf>
    <xf numFmtId="171" fontId="20" fillId="14" borderId="4" xfId="0" applyNumberFormat="1" applyFont="1" applyFill="1" applyBorder="1" applyAlignment="1">
      <alignment horizontal="right" vertical="center"/>
    </xf>
    <xf numFmtId="166" fontId="20" fillId="14" borderId="4" xfId="73" applyNumberFormat="1" applyFont="1" applyFill="1" applyBorder="1" applyAlignment="1">
      <alignment horizontal="left"/>
    </xf>
    <xf numFmtId="0" fontId="30" fillId="14" borderId="4" xfId="57" applyFont="1" applyFill="1" applyBorder="1" applyAlignment="1" applyProtection="1">
      <alignment horizontal="left" vertical="center"/>
    </xf>
    <xf numFmtId="1" fontId="67" fillId="14" borderId="4" xfId="0" applyNumberFormat="1" applyFont="1" applyFill="1" applyBorder="1" applyAlignment="1">
      <alignment horizontal="left"/>
    </xf>
    <xf numFmtId="1" fontId="30" fillId="14" borderId="4" xfId="0" applyNumberFormat="1" applyFont="1" applyFill="1" applyBorder="1" applyAlignment="1">
      <alignment vertical="center"/>
    </xf>
    <xf numFmtId="0" fontId="30" fillId="14" borderId="4" xfId="57" applyFont="1" applyFill="1" applyBorder="1" applyAlignment="1" applyProtection="1">
      <alignment horizontal="center" vertical="center"/>
    </xf>
    <xf numFmtId="1" fontId="30" fillId="14" borderId="4" xfId="57" applyNumberFormat="1" applyFont="1" applyFill="1" applyBorder="1" applyAlignment="1" applyProtection="1">
      <alignment horizontal="right" vertical="center"/>
    </xf>
    <xf numFmtId="166" fontId="30" fillId="14" borderId="4" xfId="73" applyNumberFormat="1" applyFont="1" applyFill="1" applyBorder="1" applyAlignment="1" applyProtection="1">
      <alignment horizontal="center" vertical="center"/>
    </xf>
    <xf numFmtId="0" fontId="30" fillId="14" borderId="4" xfId="73" applyNumberFormat="1" applyFont="1" applyFill="1" applyBorder="1" applyAlignment="1">
      <alignment horizontal="center" vertical="center"/>
    </xf>
    <xf numFmtId="166" fontId="30" fillId="14" borderId="4" xfId="73" applyNumberFormat="1" applyFont="1" applyFill="1" applyBorder="1" applyAlignment="1">
      <alignment horizontal="center"/>
    </xf>
    <xf numFmtId="166" fontId="30" fillId="14" borderId="4" xfId="73" applyNumberFormat="1" applyFont="1" applyFill="1" applyBorder="1" applyAlignment="1">
      <alignment horizontal="center" vertical="center"/>
    </xf>
    <xf numFmtId="166" fontId="30" fillId="14" borderId="4" xfId="73" applyNumberFormat="1" applyFont="1" applyFill="1" applyBorder="1"/>
    <xf numFmtId="17" fontId="30" fillId="14" borderId="4" xfId="81" applyNumberFormat="1" applyFont="1" applyFill="1" applyBorder="1" applyAlignment="1">
      <alignment horizontal="left" vertical="center"/>
    </xf>
    <xf numFmtId="0" fontId="30" fillId="14" borderId="4" xfId="0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/>
    </xf>
    <xf numFmtId="1" fontId="67" fillId="14" borderId="4" xfId="0" quotePrefix="1" applyNumberFormat="1" applyFont="1" applyFill="1" applyBorder="1" applyAlignment="1">
      <alignment horizontal="left"/>
    </xf>
    <xf numFmtId="1" fontId="67" fillId="14" borderId="0" xfId="0" quotePrefix="1" applyNumberFormat="1" applyFont="1" applyFill="1" applyAlignment="1">
      <alignment horizontal="left"/>
    </xf>
    <xf numFmtId="164" fontId="30" fillId="14" borderId="4" xfId="73" applyNumberFormat="1" applyFont="1" applyFill="1" applyBorder="1" applyAlignment="1">
      <alignment horizontal="center" vertical="center"/>
    </xf>
    <xf numFmtId="169" fontId="69" fillId="14" borderId="4" xfId="0" applyNumberFormat="1" applyFont="1" applyFill="1" applyBorder="1" applyAlignment="1">
      <alignment horizontal="left"/>
    </xf>
    <xf numFmtId="2" fontId="30" fillId="14" borderId="4" xfId="73" applyNumberFormat="1" applyFont="1" applyFill="1" applyBorder="1" applyAlignment="1">
      <alignment horizontal="center" vertical="center"/>
    </xf>
    <xf numFmtId="0" fontId="30" fillId="20" borderId="4" xfId="57" applyFont="1" applyFill="1" applyBorder="1" applyAlignment="1" applyProtection="1">
      <alignment horizontal="center" vertical="center"/>
    </xf>
    <xf numFmtId="0" fontId="66" fillId="20" borderId="4" xfId="0" applyFont="1" applyFill="1" applyBorder="1"/>
    <xf numFmtId="166" fontId="66" fillId="20" borderId="4" xfId="73" applyNumberFormat="1" applyFont="1" applyFill="1" applyBorder="1" applyAlignment="1">
      <alignment horizontal="center" vertical="center"/>
    </xf>
    <xf numFmtId="0" fontId="66" fillId="20" borderId="4" xfId="0" applyFont="1" applyFill="1" applyBorder="1" applyAlignment="1">
      <alignment horizontal="center"/>
    </xf>
    <xf numFmtId="0" fontId="56" fillId="20" borderId="4" xfId="0" applyFont="1" applyFill="1" applyBorder="1" applyAlignment="1">
      <alignment vertical="top"/>
    </xf>
    <xf numFmtId="0" fontId="66" fillId="20" borderId="4" xfId="0" applyFont="1" applyFill="1" applyBorder="1" applyAlignment="1">
      <alignment horizontal="right"/>
    </xf>
    <xf numFmtId="0" fontId="56" fillId="0" borderId="1" xfId="115" applyFont="1" applyBorder="1" applyAlignment="1">
      <alignment horizontal="center" vertical="center"/>
    </xf>
    <xf numFmtId="0" fontId="56" fillId="0" borderId="3" xfId="115" applyFont="1" applyBorder="1" applyAlignment="1">
      <alignment horizontal="center" vertical="center"/>
    </xf>
    <xf numFmtId="0" fontId="56" fillId="0" borderId="2" xfId="115" applyFont="1" applyBorder="1" applyAlignment="1">
      <alignment horizontal="center" vertical="center"/>
    </xf>
    <xf numFmtId="0" fontId="66" fillId="0" borderId="4" xfId="0" applyFont="1" applyBorder="1" applyAlignment="1">
      <alignment horizontal="center" vertical="center"/>
    </xf>
    <xf numFmtId="0" fontId="56" fillId="0" borderId="4" xfId="115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/>
    </xf>
    <xf numFmtId="0" fontId="26" fillId="15" borderId="3" xfId="0" applyFont="1" applyFill="1" applyBorder="1" applyAlignment="1">
      <alignment horizontal="center"/>
    </xf>
    <xf numFmtId="0" fontId="26" fillId="15" borderId="2" xfId="0" applyFont="1" applyFill="1" applyBorder="1" applyAlignment="1">
      <alignment horizontal="center"/>
    </xf>
    <xf numFmtId="0" fontId="26" fillId="17" borderId="4" xfId="0" applyFont="1" applyFill="1" applyBorder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36" fillId="21" borderId="0" xfId="0" applyFont="1" applyFill="1" applyAlignment="1">
      <alignment horizontal="center" vertical="center"/>
    </xf>
    <xf numFmtId="0" fontId="36" fillId="21" borderId="4" xfId="0" applyFont="1" applyFill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6" fillId="21" borderId="0" xfId="0" applyFont="1" applyFill="1" applyAlignment="1">
      <alignment horizontal="center"/>
    </xf>
    <xf numFmtId="0" fontId="34" fillId="2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66" fontId="36" fillId="21" borderId="4" xfId="73" applyNumberFormat="1" applyFont="1" applyFill="1" applyBorder="1" applyAlignment="1">
      <alignment horizontal="right"/>
    </xf>
    <xf numFmtId="0" fontId="51" fillId="10" borderId="0" xfId="0" applyFont="1" applyFill="1" applyAlignment="1">
      <alignment horizontal="center" vertical="center"/>
    </xf>
    <xf numFmtId="0" fontId="53" fillId="10" borderId="29" xfId="0" applyFont="1" applyFill="1" applyBorder="1" applyAlignment="1">
      <alignment horizontal="left" vertical="center" wrapText="1"/>
    </xf>
    <xf numFmtId="0" fontId="53" fillId="10" borderId="30" xfId="0" applyFont="1" applyFill="1" applyBorder="1" applyAlignment="1">
      <alignment horizontal="left" vertical="center" wrapText="1"/>
    </xf>
    <xf numFmtId="0" fontId="53" fillId="10" borderId="47" xfId="0" applyFont="1" applyFill="1" applyBorder="1" applyAlignment="1">
      <alignment horizontal="left" vertical="center" wrapText="1"/>
    </xf>
    <xf numFmtId="0" fontId="53" fillId="10" borderId="31" xfId="0" applyFont="1" applyFill="1" applyBorder="1" applyAlignment="1">
      <alignment horizontal="left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10" borderId="48" xfId="0" applyFont="1" applyFill="1" applyBorder="1" applyAlignment="1">
      <alignment horizontal="left" vertical="center" wrapText="1"/>
    </xf>
    <xf numFmtId="2" fontId="56" fillId="0" borderId="0" xfId="121" applyNumberFormat="1" applyFont="1" applyFill="1" applyAlignment="1">
      <alignment horizontal="center" vertical="top"/>
    </xf>
    <xf numFmtId="0" fontId="56" fillId="0" borderId="0" xfId="121" applyFont="1" applyFill="1" applyAlignment="1">
      <alignment horizontal="left" vertical="top"/>
    </xf>
    <xf numFmtId="0" fontId="56" fillId="0" borderId="0" xfId="121" applyFont="1" applyFill="1" applyAlignment="1">
      <alignment horizontal="center"/>
    </xf>
    <xf numFmtId="174" fontId="56" fillId="0" borderId="0" xfId="121" applyNumberFormat="1" applyFont="1" applyFill="1" applyAlignment="1">
      <alignment horizontal="left" vertical="center"/>
    </xf>
    <xf numFmtId="175" fontId="56" fillId="26" borderId="0" xfId="121" applyNumberFormat="1" applyFont="1" applyFill="1" applyAlignment="1">
      <alignment horizontal="center" vertical="center"/>
    </xf>
    <xf numFmtId="0" fontId="62" fillId="0" borderId="29" xfId="119" applyFont="1" applyBorder="1" applyAlignment="1" applyProtection="1">
      <alignment horizontal="center"/>
      <protection hidden="1"/>
    </xf>
    <xf numFmtId="0" fontId="62" fillId="0" borderId="30" xfId="119" applyFont="1" applyBorder="1" applyAlignment="1" applyProtection="1">
      <alignment horizontal="center"/>
      <protection hidden="1"/>
    </xf>
    <xf numFmtId="0" fontId="62" fillId="0" borderId="47" xfId="119" applyFont="1" applyBorder="1" applyAlignment="1" applyProtection="1">
      <alignment horizontal="center"/>
      <protection hidden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3" fillId="7" borderId="1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7" fillId="7" borderId="1" xfId="108" applyFont="1" applyFill="1" applyBorder="1" applyAlignment="1" applyProtection="1">
      <alignment horizontal="center"/>
    </xf>
    <xf numFmtId="0" fontId="18" fillId="7" borderId="3" xfId="108" applyFont="1" applyFill="1" applyBorder="1" applyAlignment="1" applyProtection="1">
      <alignment horizontal="center"/>
    </xf>
    <xf numFmtId="0" fontId="18" fillId="7" borderId="2" xfId="108" applyFont="1" applyFill="1" applyBorder="1" applyAlignment="1" applyProtection="1">
      <alignment horizontal="center"/>
    </xf>
  </cellXfs>
  <cellStyles count="125">
    <cellStyle name="Comma" xfId="73" builtinId="3"/>
    <cellStyle name="Comma 2" xfId="60"/>
    <cellStyle name="Comma 2 2" xfId="100"/>
    <cellStyle name="Comma 2 2 3 2" xfId="120"/>
    <cellStyle name="Comma 3" xfId="122"/>
    <cellStyle name="date" xfId="124"/>
    <cellStyle name="Hyperlink" xfId="108" builtinId="8"/>
    <cellStyle name="Hyperlink 2" xfId="123"/>
    <cellStyle name="Normal" xfId="0" builtinId="0"/>
    <cellStyle name="Normal 10" xfId="75"/>
    <cellStyle name="Normal 11" xfId="61"/>
    <cellStyle name="Normal 12" xfId="59"/>
    <cellStyle name="Normal 13" xfId="58"/>
    <cellStyle name="Normal 14" xfId="56"/>
    <cellStyle name="Normal 15" xfId="54"/>
    <cellStyle name="Normal 16" xfId="52"/>
    <cellStyle name="Normal 17" xfId="96"/>
    <cellStyle name="Normal 18" xfId="50"/>
    <cellStyle name="Normal 19" xfId="48"/>
    <cellStyle name="Normal 19 3" xfId="119"/>
    <cellStyle name="Normal 2" xfId="115"/>
    <cellStyle name="Normal 2 10" xfId="81"/>
    <cellStyle name="Normal 2 11" xfId="79"/>
    <cellStyle name="Normal 2 12" xfId="69"/>
    <cellStyle name="Normal 2 13" xfId="65"/>
    <cellStyle name="Normal 2 14" xfId="105"/>
    <cellStyle name="Normal 2 15" xfId="117"/>
    <cellStyle name="Normal 2 16" xfId="44"/>
    <cellStyle name="Normal 2 17" xfId="99"/>
    <cellStyle name="Normal 2 18" xfId="86"/>
    <cellStyle name="Normal 2 19" xfId="92"/>
    <cellStyle name="Normal 2 2" xfId="57"/>
    <cellStyle name="Normal 2 2 2" xfId="101"/>
    <cellStyle name="Normal 2 2 2 2" xfId="111"/>
    <cellStyle name="Normal 2 2 2 2 2" xfId="87"/>
    <cellStyle name="Normal 2 2 2 2 2 3" xfId="74"/>
    <cellStyle name="Normal 2 2 2 3" xfId="113"/>
    <cellStyle name="Normal 2 2 3" xfId="43"/>
    <cellStyle name="Normal 2 2 3 2" xfId="46"/>
    <cellStyle name="Normal 2 2 4" xfId="90"/>
    <cellStyle name="Normal 2 20" xfId="116"/>
    <cellStyle name="Normal 2 21" xfId="45"/>
    <cellStyle name="Normal 2 22" xfId="98"/>
    <cellStyle name="Normal 2 23" xfId="85"/>
    <cellStyle name="Normal 2 24" xfId="91"/>
    <cellStyle name="Normal 2 25" xfId="67"/>
    <cellStyle name="Normal 2 26" xfId="64"/>
    <cellStyle name="Normal 2 27" xfId="84"/>
    <cellStyle name="Normal 2 28" xfId="103"/>
    <cellStyle name="Normal 2 29" xfId="42"/>
    <cellStyle name="Normal 2 3" xfId="55"/>
    <cellStyle name="Normal 2 3 2" xfId="78"/>
    <cellStyle name="Normal 2 3 2 3" xfId="40"/>
    <cellStyle name="Normal 2 3 2 3 2" xfId="39"/>
    <cellStyle name="Normal 2 3 3" xfId="68"/>
    <cellStyle name="Normal 2 30" xfId="66"/>
    <cellStyle name="Normal 2 31" xfId="63"/>
    <cellStyle name="Normal 2 32" xfId="83"/>
    <cellStyle name="Normal 2 33" xfId="102"/>
    <cellStyle name="Normal 2 34" xfId="41"/>
    <cellStyle name="Normal 2 35" xfId="38"/>
    <cellStyle name="Normal 2 35 2" xfId="107"/>
    <cellStyle name="Normal 2 36" xfId="37"/>
    <cellStyle name="Normal 2 37" xfId="36"/>
    <cellStyle name="Normal 2 37 2" xfId="104"/>
    <cellStyle name="Normal 2 37 2 2" xfId="88"/>
    <cellStyle name="Normal 2 4" xfId="106"/>
    <cellStyle name="Normal 2 4 2" xfId="89"/>
    <cellStyle name="Normal 2 5" xfId="35"/>
    <cellStyle name="Normal 2 6" xfId="114"/>
    <cellStyle name="Normal 2 7" xfId="34"/>
    <cellStyle name="Normal 2 8" xfId="32"/>
    <cellStyle name="Normal 2 9" xfId="110"/>
    <cellStyle name="Normal 20" xfId="53"/>
    <cellStyle name="Normal 21" xfId="51"/>
    <cellStyle name="Normal 22" xfId="95"/>
    <cellStyle name="Normal 23" xfId="49"/>
    <cellStyle name="Normal 24" xfId="47"/>
    <cellStyle name="Normal 25" xfId="30"/>
    <cellStyle name="Normal 25 2" xfId="28"/>
    <cellStyle name="Normal 26" xfId="26"/>
    <cellStyle name="Normal 26 2" xfId="24"/>
    <cellStyle name="Normal 27" xfId="22"/>
    <cellStyle name="Normal 28" xfId="20"/>
    <cellStyle name="Normal 28 2" xfId="18"/>
    <cellStyle name="Normal 28 3" xfId="17"/>
    <cellStyle name="Normal 29" xfId="16"/>
    <cellStyle name="Normal 29 2" xfId="71"/>
    <cellStyle name="Normal 3" xfId="33"/>
    <cellStyle name="Normal 3 2" xfId="80"/>
    <cellStyle name="Normal 3 3" xfId="77"/>
    <cellStyle name="Normal 30" xfId="29"/>
    <cellStyle name="Normal 30 2" xfId="27"/>
    <cellStyle name="Normal 31" xfId="25"/>
    <cellStyle name="Normal 31 2" xfId="23"/>
    <cellStyle name="Normal 32" xfId="21"/>
    <cellStyle name="Normal 32 2" xfId="14"/>
    <cellStyle name="Normal 33" xfId="19"/>
    <cellStyle name="Normal 34" xfId="15"/>
    <cellStyle name="Normal 35" xfId="13"/>
    <cellStyle name="Normal 36" xfId="121"/>
    <cellStyle name="Normal 4" xfId="31"/>
    <cellStyle name="Normal 4 2" xfId="12"/>
    <cellStyle name="Normal 4 2 2" xfId="11"/>
    <cellStyle name="Normal 4 2 3" xfId="10"/>
    <cellStyle name="Normal 4 3" xfId="9"/>
    <cellStyle name="Normal 5" xfId="109"/>
    <cellStyle name="Normal 5 2" xfId="8"/>
    <cellStyle name="Normal 5 3" xfId="7"/>
    <cellStyle name="Normal 6" xfId="70"/>
    <cellStyle name="Normal 6 2" xfId="6"/>
    <cellStyle name="Normal 6 2 3" xfId="5"/>
    <cellStyle name="Normal 7" xfId="4"/>
    <cellStyle name="Normal 7 2" xfId="3"/>
    <cellStyle name="Normal 8" xfId="2"/>
    <cellStyle name="Normal 8 2" xfId="94"/>
    <cellStyle name="Normal 9" xfId="1"/>
    <cellStyle name="Normal 9 2" xfId="97"/>
    <cellStyle name="Percent" xfId="72" builtinId="5"/>
    <cellStyle name="Percent 2" xfId="118"/>
    <cellStyle name="常规 2" xfId="112"/>
    <cellStyle name="常规 2 2 2" xfId="62"/>
    <cellStyle name="常规 2 2 2 4" xfId="76"/>
    <cellStyle name="常规 3" xfId="82"/>
    <cellStyle name="常规 4" xfId="93"/>
  </cellStyles>
  <dxfs count="73">
    <dxf>
      <font>
        <b/>
        <i val="0"/>
      </font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11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1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1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7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0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21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2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6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29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32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3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5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8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3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43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4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4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7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4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3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4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5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0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3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7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6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0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75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39</xdr:row>
      <xdr:rowOff>154305</xdr:rowOff>
    </xdr:to>
    <xdr:sp macro="" textlink="">
      <xdr:nvSpPr>
        <xdr:cNvPr id="7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7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6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79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2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5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6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89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2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5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7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8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99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0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1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0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29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8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3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4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7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4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3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5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6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5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1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2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4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5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6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7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8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69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70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71" name="AutoShape 1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72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86080"/>
    <xdr:sp macro="" textlink="">
      <xdr:nvSpPr>
        <xdr:cNvPr id="1073" name="AutoShape 2" descr="blob:https://web.whatsapp.com/f43e1e80-ce3e-4111-b540-0529ecb604da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>
        <a:xfrm>
          <a:off x="3406140" y="29137610"/>
          <a:ext cx="304800" cy="38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670560</xdr:colOff>
      <xdr:row>0</xdr:row>
      <xdr:rowOff>22860</xdr:rowOff>
    </xdr:from>
    <xdr:to>
      <xdr:col>5</xdr:col>
      <xdr:colOff>346</xdr:colOff>
      <xdr:row>4</xdr:row>
      <xdr:rowOff>97020</xdr:rowOff>
    </xdr:to>
    <xdr:pic>
      <xdr:nvPicPr>
        <xdr:cNvPr id="2" name="Picture 1" descr="360SynergyTech (Pvt.) Ltd. | LinkedIn">
          <a:extLst>
            <a:ext uri="{FF2B5EF4-FFF2-40B4-BE49-F238E27FC236}">
              <a16:creationId xmlns:a16="http://schemas.microsoft.com/office/drawing/2014/main" id="{AE1A6AEA-24D8-4FC4-94ED-3B8AE819F5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86"/>
        <a:stretch/>
      </xdr:blipFill>
      <xdr:spPr bwMode="auto">
        <a:xfrm>
          <a:off x="5486400" y="22860"/>
          <a:ext cx="1204306" cy="107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ropbox/Zia/Old%20Data/old/Advance%20corporate%20Solutions%20-%20ACS/Zia%20-%20Kashif/ACS%20HR/Payroll/Payroll%20Files%202016/Employee%20absence%20schedul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Overall leaves of full years"/>
    </sheetNames>
    <sheetDataSet>
      <sheetData sheetId="0">
        <row r="15">
          <cell r="G15" t="str">
            <v>C</v>
          </cell>
          <cell r="K15" t="str">
            <v>H</v>
          </cell>
          <cell r="O15" t="str">
            <v>S</v>
          </cell>
          <cell r="S15" t="str">
            <v>D</v>
          </cell>
          <cell r="W1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E59"/>
  <sheetViews>
    <sheetView tabSelected="1" zoomScale="85" zoomScaleNormal="85" workbookViewId="0">
      <pane xSplit="9" ySplit="2" topLeftCell="AJ3" activePane="bottomRight" state="frozen"/>
      <selection activeCell="AR5" sqref="AR5"/>
      <selection pane="topRight" activeCell="AR5" sqref="AR5"/>
      <selection pane="bottomLeft" activeCell="AR5" sqref="AR5"/>
      <selection pane="bottomRight" activeCell="AQ2" sqref="AQ2"/>
    </sheetView>
  </sheetViews>
  <sheetFormatPr defaultColWidth="25.7109375" defaultRowHeight="15"/>
  <cols>
    <col min="1" max="1" width="10" style="274" bestFit="1" customWidth="1"/>
    <col min="2" max="2" width="11.28515625" style="274" bestFit="1" customWidth="1"/>
    <col min="3" max="3" width="18.140625" style="274" bestFit="1" customWidth="1"/>
    <col min="4" max="4" width="13.7109375" style="274" bestFit="1" customWidth="1"/>
    <col min="5" max="5" width="9.28515625" style="274" customWidth="1"/>
    <col min="6" max="6" width="10.85546875" style="276" bestFit="1" customWidth="1"/>
    <col min="7" max="7" width="29" style="274" bestFit="1" customWidth="1"/>
    <col min="8" max="8" width="10.85546875" style="274" bestFit="1" customWidth="1"/>
    <col min="9" max="9" width="27.42578125" style="274" bestFit="1" customWidth="1"/>
    <col min="10" max="10" width="9.5703125" style="274" bestFit="1" customWidth="1"/>
    <col min="11" max="11" width="15.85546875" style="274" customWidth="1"/>
    <col min="12" max="12" width="12.85546875" style="274" bestFit="1" customWidth="1"/>
    <col min="13" max="13" width="6" style="274" bestFit="1" customWidth="1"/>
    <col min="14" max="14" width="19" style="274" bestFit="1" customWidth="1"/>
    <col min="15" max="15" width="26.42578125" style="277" bestFit="1" customWidth="1"/>
    <col min="16" max="16" width="11.42578125" style="274" bestFit="1" customWidth="1"/>
    <col min="17" max="18" width="8.85546875" style="274" bestFit="1" customWidth="1"/>
    <col min="19" max="19" width="6.28515625" style="274" bestFit="1" customWidth="1"/>
    <col min="20" max="20" width="19.42578125" style="274" bestFit="1" customWidth="1"/>
    <col min="21" max="21" width="12" style="274" bestFit="1" customWidth="1"/>
    <col min="22" max="24" width="11.7109375" style="274" customWidth="1"/>
    <col min="25" max="25" width="12.85546875" style="274" bestFit="1" customWidth="1"/>
    <col min="26" max="26" width="10" style="274" bestFit="1" customWidth="1"/>
    <col min="27" max="27" width="10.42578125" style="274" bestFit="1" customWidth="1"/>
    <col min="28" max="29" width="14.140625" style="274" customWidth="1"/>
    <col min="30" max="30" width="14.42578125" style="274" bestFit="1" customWidth="1"/>
    <col min="31" max="31" width="18.42578125" style="274" bestFit="1" customWidth="1"/>
    <col min="32" max="32" width="12.42578125" style="274" bestFit="1" customWidth="1"/>
    <col min="33" max="33" width="19" style="274" bestFit="1" customWidth="1"/>
    <col min="34" max="34" width="14" style="274" bestFit="1" customWidth="1"/>
    <col min="35" max="35" width="13.7109375" style="274" customWidth="1"/>
    <col min="36" max="36" width="15.7109375" style="274" customWidth="1"/>
    <col min="37" max="37" width="16.28515625" style="274" customWidth="1"/>
    <col min="38" max="38" width="18.28515625" style="274" customWidth="1"/>
    <col min="39" max="40" width="15.7109375" style="274" bestFit="1" customWidth="1"/>
    <col min="41" max="41" width="12.28515625" style="274" bestFit="1" customWidth="1"/>
    <col min="42" max="42" width="13.85546875" style="274" bestFit="1" customWidth="1"/>
    <col min="43" max="51" width="16.5703125" style="274" customWidth="1"/>
    <col min="52" max="52" width="13.7109375" style="274" customWidth="1"/>
    <col min="53" max="53" width="50.5703125" style="274" customWidth="1"/>
    <col min="54" max="54" width="12.7109375" style="274" bestFit="1" customWidth="1"/>
    <col min="55" max="55" width="24.5703125" style="274" bestFit="1" customWidth="1"/>
    <col min="56" max="16384" width="25.7109375" style="274"/>
  </cols>
  <sheetData>
    <row r="1" spans="1:55">
      <c r="A1" s="370" t="s">
        <v>71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2"/>
      <c r="P1" s="374" t="s">
        <v>72</v>
      </c>
      <c r="Q1" s="374"/>
      <c r="R1" s="374"/>
      <c r="S1" s="374"/>
      <c r="T1" s="374"/>
      <c r="U1" s="374"/>
      <c r="V1" s="370" t="s">
        <v>198</v>
      </c>
      <c r="W1" s="371"/>
      <c r="X1" s="372"/>
      <c r="Y1" s="288" t="s">
        <v>73</v>
      </c>
      <c r="Z1" s="288"/>
      <c r="AA1" s="288"/>
      <c r="AB1" s="289"/>
      <c r="AC1" s="289"/>
      <c r="AD1" s="288"/>
      <c r="AE1" s="374" t="s">
        <v>74</v>
      </c>
      <c r="AF1" s="374"/>
      <c r="AG1" s="290"/>
      <c r="AH1" s="373" t="s">
        <v>75</v>
      </c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3"/>
      <c r="AY1" s="373"/>
      <c r="AZ1" s="373"/>
      <c r="BA1" s="373"/>
      <c r="BB1" s="291"/>
      <c r="BC1" s="292"/>
    </row>
    <row r="2" spans="1:55" ht="63" customHeight="1">
      <c r="A2" s="293" t="s">
        <v>95</v>
      </c>
      <c r="B2" s="294" t="s">
        <v>34</v>
      </c>
      <c r="C2" s="293" t="s">
        <v>125</v>
      </c>
      <c r="D2" s="293" t="s">
        <v>96</v>
      </c>
      <c r="E2" s="295" t="s">
        <v>68</v>
      </c>
      <c r="F2" s="293" t="s">
        <v>137</v>
      </c>
      <c r="G2" s="293" t="s">
        <v>97</v>
      </c>
      <c r="H2" s="293" t="s">
        <v>76</v>
      </c>
      <c r="I2" s="293" t="s">
        <v>98</v>
      </c>
      <c r="J2" s="293" t="s">
        <v>77</v>
      </c>
      <c r="K2" s="293" t="s">
        <v>94</v>
      </c>
      <c r="L2" s="296" t="s">
        <v>78</v>
      </c>
      <c r="M2" s="297" t="s">
        <v>79</v>
      </c>
      <c r="N2" s="293" t="s">
        <v>80</v>
      </c>
      <c r="O2" s="298" t="s">
        <v>81</v>
      </c>
      <c r="P2" s="293" t="s">
        <v>126</v>
      </c>
      <c r="Q2" s="293" t="s">
        <v>82</v>
      </c>
      <c r="R2" s="293" t="s">
        <v>83</v>
      </c>
      <c r="S2" s="293" t="s">
        <v>197</v>
      </c>
      <c r="T2" s="293" t="s">
        <v>84</v>
      </c>
      <c r="U2" s="293" t="s">
        <v>127</v>
      </c>
      <c r="V2" s="293" t="s">
        <v>199</v>
      </c>
      <c r="W2" s="293" t="s">
        <v>200</v>
      </c>
      <c r="X2" s="293" t="s">
        <v>201</v>
      </c>
      <c r="Y2" s="293" t="s">
        <v>133</v>
      </c>
      <c r="Z2" s="293" t="s">
        <v>132</v>
      </c>
      <c r="AA2" s="293" t="s">
        <v>134</v>
      </c>
      <c r="AB2" s="293" t="s">
        <v>364</v>
      </c>
      <c r="AC2" s="293" t="s">
        <v>299</v>
      </c>
      <c r="AD2" s="299" t="s">
        <v>6</v>
      </c>
      <c r="AE2" s="300" t="s">
        <v>227</v>
      </c>
      <c r="AF2" s="293" t="s">
        <v>128</v>
      </c>
      <c r="AG2" s="300" t="s">
        <v>85</v>
      </c>
      <c r="AH2" s="297" t="s">
        <v>135</v>
      </c>
      <c r="AI2" s="297" t="s">
        <v>136</v>
      </c>
      <c r="AJ2" s="297" t="s">
        <v>228</v>
      </c>
      <c r="AK2" s="297" t="s">
        <v>130</v>
      </c>
      <c r="AL2" s="297" t="s">
        <v>327</v>
      </c>
      <c r="AM2" s="297" t="s">
        <v>131</v>
      </c>
      <c r="AN2" s="297" t="s">
        <v>86</v>
      </c>
      <c r="AO2" s="297" t="s">
        <v>87</v>
      </c>
      <c r="AP2" s="297" t="s">
        <v>88</v>
      </c>
      <c r="AQ2" s="297" t="s">
        <v>401</v>
      </c>
      <c r="AR2" s="297" t="s">
        <v>307</v>
      </c>
      <c r="AS2" s="297" t="s">
        <v>371</v>
      </c>
      <c r="AT2" s="297" t="s">
        <v>386</v>
      </c>
      <c r="AU2" s="297" t="s">
        <v>373</v>
      </c>
      <c r="AV2" s="297" t="s">
        <v>387</v>
      </c>
      <c r="AW2" s="297" t="s">
        <v>388</v>
      </c>
      <c r="AX2" s="297" t="s">
        <v>389</v>
      </c>
      <c r="AY2" s="297" t="s">
        <v>372</v>
      </c>
      <c r="AZ2" s="297" t="s">
        <v>370</v>
      </c>
      <c r="BA2" s="297" t="s">
        <v>89</v>
      </c>
      <c r="BB2" s="297" t="s">
        <v>90</v>
      </c>
      <c r="BC2" s="292"/>
    </row>
    <row r="3" spans="1:55" ht="14.45" customHeight="1">
      <c r="A3" s="301">
        <v>1</v>
      </c>
      <c r="B3" s="302">
        <v>44742</v>
      </c>
      <c r="C3" s="303" t="s">
        <v>297</v>
      </c>
      <c r="D3" s="304" t="s">
        <v>140</v>
      </c>
      <c r="E3" s="305" t="s">
        <v>91</v>
      </c>
      <c r="F3" s="306">
        <v>1</v>
      </c>
      <c r="G3" s="307" t="s">
        <v>244</v>
      </c>
      <c r="H3" s="308"/>
      <c r="I3" s="304" t="s">
        <v>310</v>
      </c>
      <c r="J3" s="309" t="s">
        <v>92</v>
      </c>
      <c r="K3" s="310">
        <v>44288</v>
      </c>
      <c r="L3" s="311"/>
      <c r="M3" s="312"/>
      <c r="N3" s="313" t="s">
        <v>144</v>
      </c>
      <c r="O3" s="314">
        <v>11470105981905</v>
      </c>
      <c r="P3" s="315">
        <f t="shared" ref="P3:P29" si="0">U3-T3</f>
        <v>30</v>
      </c>
      <c r="Q3" s="316"/>
      <c r="R3" s="316"/>
      <c r="S3" s="316"/>
      <c r="T3" s="317"/>
      <c r="U3" s="301">
        <v>30</v>
      </c>
      <c r="V3" s="316"/>
      <c r="W3" s="316"/>
      <c r="X3" s="316"/>
      <c r="Y3" s="318">
        <f t="shared" ref="Y3" si="1">AD3*0.66</f>
        <v>19800</v>
      </c>
      <c r="Z3" s="318">
        <f t="shared" ref="Z3" si="2">AD3*0.25</f>
        <v>7500</v>
      </c>
      <c r="AA3" s="318">
        <f t="shared" ref="AA3" si="3">AD3*0.09</f>
        <v>2700</v>
      </c>
      <c r="AB3" s="319">
        <v>0</v>
      </c>
      <c r="AC3" s="319">
        <v>0</v>
      </c>
      <c r="AD3" s="319">
        <v>30000</v>
      </c>
      <c r="AE3" s="320"/>
      <c r="AF3" s="318"/>
      <c r="AG3" s="319">
        <f>ROUND(SUM(AF3:AF3)+AE3+AD3,0)</f>
        <v>30000</v>
      </c>
      <c r="AH3" s="321"/>
      <c r="AI3" s="302">
        <v>44593</v>
      </c>
      <c r="AJ3" s="320">
        <f>IF((B3-K3)&lt;14,0,Y3*10%)</f>
        <v>1980</v>
      </c>
      <c r="AK3" s="320">
        <f t="shared" ref="AK3:AK34" si="4">IF((B3-K3)&lt;14,0,Y3*10%)</f>
        <v>1980</v>
      </c>
      <c r="AL3" s="320"/>
      <c r="AM3" s="312">
        <f t="shared" ref="AM3:AM39" ca="1" si="5">(AJ3+AK3)*DATEDIF(AI3,TODAY(),"m")+AL3</f>
        <v>19800</v>
      </c>
      <c r="AN3" s="319">
        <f t="shared" ref="AN3:AN47" si="6">ROUND(IF(BB3="paid",AG3-AJ3,AG3-AJ3),0)</f>
        <v>28020</v>
      </c>
      <c r="AO3" s="322"/>
      <c r="AP3" s="322">
        <f>VLOOKUP(C3,'Tax Calculations'!$D$5:$AS$38,42,FALSE)</f>
        <v>0</v>
      </c>
      <c r="AQ3" s="322"/>
      <c r="AR3" s="323">
        <f t="shared" ref="AR3:AR40" si="7">ROUND(AG3/22,0)</f>
        <v>1364</v>
      </c>
      <c r="AS3" s="324">
        <f>AQ3*AR3</f>
        <v>0</v>
      </c>
      <c r="AT3" s="324"/>
      <c r="AU3" s="324">
        <v>5000</v>
      </c>
      <c r="AV3" s="324"/>
      <c r="AW3" s="324"/>
      <c r="AX3" s="324"/>
      <c r="AY3" s="322"/>
      <c r="AZ3" s="325">
        <f>AN3-AO3-AP3-AS3-AY3+AT3+AU3+AV3+AW3+AX3</f>
        <v>33020</v>
      </c>
      <c r="BA3" s="326"/>
      <c r="BB3" s="327" t="s">
        <v>320</v>
      </c>
      <c r="BC3" s="292"/>
    </row>
    <row r="4" spans="1:55" ht="14.45" customHeight="1">
      <c r="A4" s="301">
        <v>2</v>
      </c>
      <c r="B4" s="302">
        <v>44742</v>
      </c>
      <c r="C4" s="303" t="s">
        <v>296</v>
      </c>
      <c r="D4" s="304" t="s">
        <v>141</v>
      </c>
      <c r="E4" s="305" t="s">
        <v>91</v>
      </c>
      <c r="F4" s="306">
        <v>2</v>
      </c>
      <c r="G4" s="307" t="s">
        <v>295</v>
      </c>
      <c r="H4" s="308"/>
      <c r="I4" s="304" t="s">
        <v>310</v>
      </c>
      <c r="J4" s="309" t="s">
        <v>92</v>
      </c>
      <c r="K4" s="310">
        <v>44288</v>
      </c>
      <c r="L4" s="311"/>
      <c r="M4" s="312"/>
      <c r="N4" s="313" t="s">
        <v>144</v>
      </c>
      <c r="O4" s="314">
        <v>11470105982471</v>
      </c>
      <c r="P4" s="315">
        <f t="shared" si="0"/>
        <v>30</v>
      </c>
      <c r="Q4" s="316"/>
      <c r="R4" s="316"/>
      <c r="S4" s="316"/>
      <c r="T4" s="317"/>
      <c r="U4" s="301">
        <v>30</v>
      </c>
      <c r="V4" s="316"/>
      <c r="W4" s="316"/>
      <c r="X4" s="316"/>
      <c r="Y4" s="318">
        <f t="shared" ref="Y4:Y26" si="8">AD4*0.66</f>
        <v>19800</v>
      </c>
      <c r="Z4" s="318">
        <f t="shared" ref="Z4:Z26" si="9">AD4*0.25</f>
        <v>7500</v>
      </c>
      <c r="AA4" s="318">
        <f t="shared" ref="AA4:AA26" si="10">AD4*0.09</f>
        <v>2700</v>
      </c>
      <c r="AB4" s="319">
        <v>0</v>
      </c>
      <c r="AC4" s="319">
        <v>0</v>
      </c>
      <c r="AD4" s="319">
        <v>30000</v>
      </c>
      <c r="AE4" s="320"/>
      <c r="AF4" s="318"/>
      <c r="AG4" s="319">
        <f t="shared" ref="AG4:AG44" si="11">ROUND(SUM(AF4:AF4)+AE4+AD4,0)</f>
        <v>30000</v>
      </c>
      <c r="AH4" s="321"/>
      <c r="AI4" s="302">
        <v>44593</v>
      </c>
      <c r="AJ4" s="320">
        <f t="shared" ref="AJ4:AJ29" si="12">IF((B4-K4)&lt;14,0,Y4*10%)</f>
        <v>1980</v>
      </c>
      <c r="AK4" s="320">
        <f t="shared" si="4"/>
        <v>1980</v>
      </c>
      <c r="AL4" s="320"/>
      <c r="AM4" s="312">
        <f t="shared" ca="1" si="5"/>
        <v>19800</v>
      </c>
      <c r="AN4" s="319">
        <f t="shared" si="6"/>
        <v>28020</v>
      </c>
      <c r="AO4" s="322"/>
      <c r="AP4" s="322">
        <f>VLOOKUP(C4,'Tax Calculations'!$D$5:$AS$38,42,FALSE)</f>
        <v>0</v>
      </c>
      <c r="AQ4" s="322"/>
      <c r="AR4" s="323">
        <f t="shared" si="7"/>
        <v>1364</v>
      </c>
      <c r="AS4" s="324">
        <f t="shared" ref="AS4:AS39" si="13">AQ4*AR4</f>
        <v>0</v>
      </c>
      <c r="AT4" s="324"/>
      <c r="AU4" s="324">
        <v>5000</v>
      </c>
      <c r="AV4" s="324"/>
      <c r="AW4" s="324"/>
      <c r="AX4" s="324"/>
      <c r="AY4" s="322"/>
      <c r="AZ4" s="325">
        <f t="shared" ref="AZ4:AZ40" si="14">AN4-AO4-AP4-AS4-AY4+AT4+AU4+AV4+AW4+AX4</f>
        <v>33020</v>
      </c>
      <c r="BA4" s="326"/>
      <c r="BB4" s="327" t="s">
        <v>320</v>
      </c>
      <c r="BC4" s="292"/>
    </row>
    <row r="5" spans="1:55" ht="14.45" customHeight="1">
      <c r="A5" s="301">
        <v>3</v>
      </c>
      <c r="B5" s="302">
        <v>44742</v>
      </c>
      <c r="C5" s="303" t="s">
        <v>233</v>
      </c>
      <c r="D5" s="304" t="s">
        <v>139</v>
      </c>
      <c r="E5" s="305" t="s">
        <v>91</v>
      </c>
      <c r="F5" s="306">
        <v>3</v>
      </c>
      <c r="G5" s="307" t="s">
        <v>99</v>
      </c>
      <c r="H5" s="308"/>
      <c r="I5" s="304" t="s">
        <v>185</v>
      </c>
      <c r="J5" s="309" t="s">
        <v>92</v>
      </c>
      <c r="K5" s="310">
        <v>44288</v>
      </c>
      <c r="L5" s="311">
        <v>32915</v>
      </c>
      <c r="M5" s="312">
        <f t="shared" ref="M5:M28" ca="1" si="15">DATEDIF(L5,TODAY(),"y")</f>
        <v>32</v>
      </c>
      <c r="N5" s="313" t="s">
        <v>144</v>
      </c>
      <c r="O5" s="314">
        <v>11470106322435</v>
      </c>
      <c r="P5" s="315">
        <f t="shared" si="0"/>
        <v>30</v>
      </c>
      <c r="Q5" s="316"/>
      <c r="R5" s="316"/>
      <c r="S5" s="316"/>
      <c r="T5" s="317"/>
      <c r="U5" s="301">
        <v>30</v>
      </c>
      <c r="V5" s="316"/>
      <c r="W5" s="316"/>
      <c r="X5" s="316"/>
      <c r="Y5" s="318">
        <f t="shared" si="8"/>
        <v>19800</v>
      </c>
      <c r="Z5" s="318">
        <f t="shared" si="9"/>
        <v>7500</v>
      </c>
      <c r="AA5" s="318">
        <f t="shared" si="10"/>
        <v>2700</v>
      </c>
      <c r="AB5" s="319">
        <v>0</v>
      </c>
      <c r="AC5" s="319">
        <v>0</v>
      </c>
      <c r="AD5" s="319">
        <v>30000</v>
      </c>
      <c r="AE5" s="320"/>
      <c r="AF5" s="318"/>
      <c r="AG5" s="319">
        <f t="shared" si="11"/>
        <v>30000</v>
      </c>
      <c r="AH5" s="321"/>
      <c r="AI5" s="302">
        <v>44593</v>
      </c>
      <c r="AJ5" s="320">
        <f t="shared" si="12"/>
        <v>1980</v>
      </c>
      <c r="AK5" s="320">
        <f t="shared" si="4"/>
        <v>1980</v>
      </c>
      <c r="AL5" s="320"/>
      <c r="AM5" s="312">
        <f t="shared" ca="1" si="5"/>
        <v>19800</v>
      </c>
      <c r="AN5" s="319">
        <f t="shared" si="6"/>
        <v>28020</v>
      </c>
      <c r="AO5" s="322">
        <f>ROUND(AH5/5,0)</f>
        <v>0</v>
      </c>
      <c r="AP5" s="322">
        <f>VLOOKUP(C5,'Tax Calculations'!$D$5:$AS$38,42,FALSE)</f>
        <v>0</v>
      </c>
      <c r="AQ5" s="322"/>
      <c r="AR5" s="323">
        <f t="shared" si="7"/>
        <v>1364</v>
      </c>
      <c r="AS5" s="324">
        <f t="shared" si="13"/>
        <v>0</v>
      </c>
      <c r="AT5" s="324"/>
      <c r="AU5" s="324">
        <v>5000</v>
      </c>
      <c r="AV5" s="324"/>
      <c r="AW5" s="324"/>
      <c r="AX5" s="324"/>
      <c r="AY5" s="322"/>
      <c r="AZ5" s="325">
        <f t="shared" si="14"/>
        <v>33020</v>
      </c>
      <c r="BA5" s="326"/>
      <c r="BB5" s="327" t="s">
        <v>320</v>
      </c>
      <c r="BC5" s="292"/>
    </row>
    <row r="6" spans="1:55" ht="14.45" customHeight="1">
      <c r="A6" s="301">
        <v>4</v>
      </c>
      <c r="B6" s="302">
        <v>44742</v>
      </c>
      <c r="C6" s="303" t="s">
        <v>146</v>
      </c>
      <c r="D6" s="304" t="s">
        <v>140</v>
      </c>
      <c r="E6" s="305" t="s">
        <v>91</v>
      </c>
      <c r="F6" s="306">
        <v>18</v>
      </c>
      <c r="G6" s="333" t="s">
        <v>249</v>
      </c>
      <c r="H6" s="308">
        <v>7</v>
      </c>
      <c r="I6" s="304" t="s">
        <v>145</v>
      </c>
      <c r="J6" s="309" t="s">
        <v>92</v>
      </c>
      <c r="K6" s="310">
        <v>44298</v>
      </c>
      <c r="L6" s="311">
        <v>34967</v>
      </c>
      <c r="M6" s="312">
        <f t="shared" ca="1" si="15"/>
        <v>26</v>
      </c>
      <c r="N6" s="313" t="s">
        <v>144</v>
      </c>
      <c r="O6" s="329" t="s">
        <v>339</v>
      </c>
      <c r="P6" s="315">
        <f t="shared" si="0"/>
        <v>30</v>
      </c>
      <c r="Q6" s="316"/>
      <c r="R6" s="316"/>
      <c r="S6" s="316"/>
      <c r="T6" s="317"/>
      <c r="U6" s="301">
        <v>30</v>
      </c>
      <c r="V6" s="316"/>
      <c r="W6" s="316"/>
      <c r="X6" s="316"/>
      <c r="Y6" s="318">
        <f t="shared" si="8"/>
        <v>19800</v>
      </c>
      <c r="Z6" s="318">
        <f t="shared" si="9"/>
        <v>7500</v>
      </c>
      <c r="AA6" s="318">
        <f t="shared" si="10"/>
        <v>2700</v>
      </c>
      <c r="AB6" s="319">
        <v>0</v>
      </c>
      <c r="AC6" s="319">
        <v>0</v>
      </c>
      <c r="AD6" s="319">
        <v>30000</v>
      </c>
      <c r="AE6" s="320"/>
      <c r="AF6" s="318"/>
      <c r="AG6" s="319">
        <f t="shared" si="11"/>
        <v>30000</v>
      </c>
      <c r="AH6" s="321"/>
      <c r="AI6" s="302">
        <v>44562</v>
      </c>
      <c r="AJ6" s="320">
        <f t="shared" si="12"/>
        <v>1980</v>
      </c>
      <c r="AK6" s="320">
        <f t="shared" si="4"/>
        <v>1980</v>
      </c>
      <c r="AL6" s="320"/>
      <c r="AM6" s="312">
        <f t="shared" ca="1" si="5"/>
        <v>23760</v>
      </c>
      <c r="AN6" s="319">
        <f t="shared" si="6"/>
        <v>28020</v>
      </c>
      <c r="AO6" s="322">
        <f>ROUND(AH6/5,0)</f>
        <v>0</v>
      </c>
      <c r="AP6" s="322">
        <f>VLOOKUP(C6,'Tax Calculations'!$D$5:$AS$38,42,FALSE)</f>
        <v>0</v>
      </c>
      <c r="AQ6" s="322"/>
      <c r="AR6" s="323">
        <f t="shared" si="7"/>
        <v>1364</v>
      </c>
      <c r="AS6" s="324">
        <f t="shared" si="13"/>
        <v>0</v>
      </c>
      <c r="AT6" s="324"/>
      <c r="AU6" s="324">
        <v>5000</v>
      </c>
      <c r="AV6" s="324"/>
      <c r="AW6" s="324"/>
      <c r="AX6" s="324"/>
      <c r="AY6" s="322"/>
      <c r="AZ6" s="325">
        <f t="shared" si="14"/>
        <v>33020</v>
      </c>
      <c r="BA6" s="326"/>
      <c r="BB6" s="327" t="s">
        <v>320</v>
      </c>
      <c r="BC6" s="292"/>
    </row>
    <row r="7" spans="1:55" ht="14.45" customHeight="1">
      <c r="A7" s="301">
        <v>5</v>
      </c>
      <c r="B7" s="302">
        <v>44742</v>
      </c>
      <c r="C7" s="303" t="s">
        <v>348</v>
      </c>
      <c r="D7" s="304" t="s">
        <v>140</v>
      </c>
      <c r="E7" s="305" t="s">
        <v>91</v>
      </c>
      <c r="F7" s="306">
        <v>61</v>
      </c>
      <c r="G7" s="307" t="s">
        <v>346</v>
      </c>
      <c r="H7" s="308">
        <v>8</v>
      </c>
      <c r="I7" s="304" t="s">
        <v>349</v>
      </c>
      <c r="J7" s="309" t="s">
        <v>92</v>
      </c>
      <c r="K7" s="310">
        <v>44662</v>
      </c>
      <c r="L7" s="311">
        <v>35762</v>
      </c>
      <c r="M7" s="312">
        <f t="shared" ca="1" si="15"/>
        <v>24</v>
      </c>
      <c r="N7" s="313" t="s">
        <v>144</v>
      </c>
      <c r="O7" s="329" t="s">
        <v>368</v>
      </c>
      <c r="P7" s="315">
        <f t="shared" si="0"/>
        <v>30</v>
      </c>
      <c r="Q7" s="316"/>
      <c r="R7" s="316"/>
      <c r="S7" s="316"/>
      <c r="T7" s="317"/>
      <c r="U7" s="301">
        <v>30</v>
      </c>
      <c r="V7" s="316"/>
      <c r="W7" s="316"/>
      <c r="X7" s="316"/>
      <c r="Y7" s="318">
        <f t="shared" si="8"/>
        <v>19800</v>
      </c>
      <c r="Z7" s="318">
        <f t="shared" si="9"/>
        <v>7500</v>
      </c>
      <c r="AA7" s="318">
        <f t="shared" si="10"/>
        <v>2700</v>
      </c>
      <c r="AB7" s="319"/>
      <c r="AC7" s="319"/>
      <c r="AD7" s="319">
        <v>30000</v>
      </c>
      <c r="AE7" s="320"/>
      <c r="AF7" s="318"/>
      <c r="AG7" s="319">
        <f t="shared" si="11"/>
        <v>30000</v>
      </c>
      <c r="AH7" s="321"/>
      <c r="AI7" s="302">
        <v>44652</v>
      </c>
      <c r="AJ7" s="320">
        <f t="shared" si="12"/>
        <v>1980</v>
      </c>
      <c r="AK7" s="320">
        <f t="shared" si="4"/>
        <v>1980</v>
      </c>
      <c r="AL7" s="320"/>
      <c r="AM7" s="312">
        <f t="shared" ca="1" si="5"/>
        <v>11880</v>
      </c>
      <c r="AN7" s="319">
        <f t="shared" si="6"/>
        <v>28020</v>
      </c>
      <c r="AO7" s="322"/>
      <c r="AP7" s="322"/>
      <c r="AQ7" s="322"/>
      <c r="AR7" s="323">
        <f t="shared" si="7"/>
        <v>1364</v>
      </c>
      <c r="AS7" s="324">
        <f t="shared" si="13"/>
        <v>0</v>
      </c>
      <c r="AT7" s="324"/>
      <c r="AU7" s="324">
        <v>2500</v>
      </c>
      <c r="AV7" s="324"/>
      <c r="AW7" s="324"/>
      <c r="AX7" s="324"/>
      <c r="AY7" s="322"/>
      <c r="AZ7" s="325">
        <f t="shared" si="14"/>
        <v>30520</v>
      </c>
      <c r="BA7" s="326"/>
      <c r="BB7" s="327" t="s">
        <v>320</v>
      </c>
      <c r="BC7" s="292"/>
    </row>
    <row r="8" spans="1:55" ht="14.45" customHeight="1">
      <c r="A8" s="301">
        <v>6</v>
      </c>
      <c r="B8" s="302">
        <v>44742</v>
      </c>
      <c r="C8" s="303" t="s">
        <v>152</v>
      </c>
      <c r="D8" s="304" t="s">
        <v>141</v>
      </c>
      <c r="E8" s="305" t="s">
        <v>91</v>
      </c>
      <c r="F8" s="306">
        <v>6</v>
      </c>
      <c r="G8" s="307" t="s">
        <v>250</v>
      </c>
      <c r="H8" s="308">
        <v>7</v>
      </c>
      <c r="I8" s="304" t="s">
        <v>151</v>
      </c>
      <c r="J8" s="309" t="s">
        <v>92</v>
      </c>
      <c r="K8" s="310">
        <v>44137</v>
      </c>
      <c r="L8" s="311">
        <v>34841</v>
      </c>
      <c r="M8" s="312">
        <f t="shared" ca="1" si="15"/>
        <v>27</v>
      </c>
      <c r="N8" s="313" t="s">
        <v>144</v>
      </c>
      <c r="O8" s="314" t="s">
        <v>365</v>
      </c>
      <c r="P8" s="315">
        <f t="shared" si="0"/>
        <v>30</v>
      </c>
      <c r="Q8" s="316"/>
      <c r="R8" s="316"/>
      <c r="S8" s="316"/>
      <c r="T8" s="317"/>
      <c r="U8" s="301">
        <v>30</v>
      </c>
      <c r="V8" s="316"/>
      <c r="W8" s="316"/>
      <c r="X8" s="316"/>
      <c r="Y8" s="318">
        <f t="shared" si="8"/>
        <v>19800</v>
      </c>
      <c r="Z8" s="318">
        <f t="shared" si="9"/>
        <v>7500</v>
      </c>
      <c r="AA8" s="318">
        <f t="shared" si="10"/>
        <v>2700</v>
      </c>
      <c r="AB8" s="319">
        <v>0</v>
      </c>
      <c r="AC8" s="319">
        <v>0</v>
      </c>
      <c r="AD8" s="319">
        <v>30000</v>
      </c>
      <c r="AE8" s="320"/>
      <c r="AF8" s="318"/>
      <c r="AG8" s="319">
        <f t="shared" si="11"/>
        <v>30000</v>
      </c>
      <c r="AH8" s="321"/>
      <c r="AI8" s="302">
        <v>44562</v>
      </c>
      <c r="AJ8" s="320">
        <f t="shared" si="12"/>
        <v>1980</v>
      </c>
      <c r="AK8" s="320">
        <f t="shared" si="4"/>
        <v>1980</v>
      </c>
      <c r="AL8" s="320"/>
      <c r="AM8" s="312">
        <f t="shared" ca="1" si="5"/>
        <v>23760</v>
      </c>
      <c r="AN8" s="319">
        <f t="shared" si="6"/>
        <v>28020</v>
      </c>
      <c r="AO8" s="322">
        <f t="shared" ref="AO8:AO20" si="16">ROUND(AH8/5,0)</f>
        <v>0</v>
      </c>
      <c r="AP8" s="322">
        <f>VLOOKUP(C8,'Tax Calculations'!$D$5:$AS$38,42,FALSE)</f>
        <v>0</v>
      </c>
      <c r="AQ8" s="322"/>
      <c r="AR8" s="323">
        <f t="shared" si="7"/>
        <v>1364</v>
      </c>
      <c r="AS8" s="324">
        <f t="shared" si="13"/>
        <v>0</v>
      </c>
      <c r="AT8" s="324">
        <v>2000</v>
      </c>
      <c r="AU8" s="324">
        <v>5000</v>
      </c>
      <c r="AV8" s="324"/>
      <c r="AW8" s="324"/>
      <c r="AX8" s="324"/>
      <c r="AY8" s="322"/>
      <c r="AZ8" s="325">
        <f t="shared" si="14"/>
        <v>35020</v>
      </c>
      <c r="BA8" s="326"/>
      <c r="BB8" s="327" t="s">
        <v>320</v>
      </c>
      <c r="BC8" s="292"/>
    </row>
    <row r="9" spans="1:55" ht="14.45" customHeight="1">
      <c r="A9" s="301">
        <v>7</v>
      </c>
      <c r="B9" s="302">
        <v>44742</v>
      </c>
      <c r="C9" s="303">
        <v>3410173752691</v>
      </c>
      <c r="D9" s="304" t="s">
        <v>141</v>
      </c>
      <c r="E9" s="305" t="s">
        <v>91</v>
      </c>
      <c r="F9" s="306">
        <v>7</v>
      </c>
      <c r="G9" s="307" t="s">
        <v>245</v>
      </c>
      <c r="H9" s="308">
        <v>6</v>
      </c>
      <c r="I9" s="304" t="s">
        <v>153</v>
      </c>
      <c r="J9" s="309" t="s">
        <v>92</v>
      </c>
      <c r="K9" s="310">
        <v>44166</v>
      </c>
      <c r="L9" s="311">
        <v>33390</v>
      </c>
      <c r="M9" s="312">
        <f t="shared" ca="1" si="15"/>
        <v>31</v>
      </c>
      <c r="N9" s="313" t="s">
        <v>144</v>
      </c>
      <c r="O9" s="314" t="s">
        <v>186</v>
      </c>
      <c r="P9" s="315">
        <f t="shared" si="0"/>
        <v>30</v>
      </c>
      <c r="Q9" s="316"/>
      <c r="R9" s="316"/>
      <c r="S9" s="316"/>
      <c r="T9" s="317"/>
      <c r="U9" s="301">
        <v>30</v>
      </c>
      <c r="V9" s="316"/>
      <c r="W9" s="316"/>
      <c r="X9" s="316"/>
      <c r="Y9" s="318">
        <f t="shared" si="8"/>
        <v>19800</v>
      </c>
      <c r="Z9" s="318">
        <f t="shared" si="9"/>
        <v>7500</v>
      </c>
      <c r="AA9" s="318">
        <f t="shared" si="10"/>
        <v>2700</v>
      </c>
      <c r="AB9" s="319">
        <v>0</v>
      </c>
      <c r="AC9" s="319">
        <v>0</v>
      </c>
      <c r="AD9" s="319">
        <v>30000</v>
      </c>
      <c r="AE9" s="320"/>
      <c r="AF9" s="318"/>
      <c r="AG9" s="319">
        <f t="shared" si="11"/>
        <v>30000</v>
      </c>
      <c r="AH9" s="321"/>
      <c r="AI9" s="302">
        <v>44562</v>
      </c>
      <c r="AJ9" s="320">
        <f t="shared" si="12"/>
        <v>1980</v>
      </c>
      <c r="AK9" s="320">
        <f t="shared" si="4"/>
        <v>1980</v>
      </c>
      <c r="AL9" s="320"/>
      <c r="AM9" s="312">
        <f t="shared" ca="1" si="5"/>
        <v>23760</v>
      </c>
      <c r="AN9" s="319">
        <f t="shared" si="6"/>
        <v>28020</v>
      </c>
      <c r="AO9" s="322">
        <f t="shared" si="16"/>
        <v>0</v>
      </c>
      <c r="AP9" s="322">
        <f>VLOOKUP(C9,'Tax Calculations'!$D$5:$AS$38,42,FALSE)</f>
        <v>0</v>
      </c>
      <c r="AQ9" s="322"/>
      <c r="AR9" s="323">
        <f t="shared" si="7"/>
        <v>1364</v>
      </c>
      <c r="AS9" s="324">
        <f t="shared" si="13"/>
        <v>0</v>
      </c>
      <c r="AT9" s="324"/>
      <c r="AU9" s="324">
        <v>5000</v>
      </c>
      <c r="AV9" s="324"/>
      <c r="AW9" s="324"/>
      <c r="AX9" s="324"/>
      <c r="AY9" s="322"/>
      <c r="AZ9" s="325">
        <f t="shared" si="14"/>
        <v>33020</v>
      </c>
      <c r="BA9" s="326"/>
      <c r="BB9" s="327" t="s">
        <v>320</v>
      </c>
      <c r="BC9" s="292"/>
    </row>
    <row r="10" spans="1:55" ht="14.45" customHeight="1">
      <c r="A10" s="301">
        <v>8</v>
      </c>
      <c r="B10" s="302">
        <v>44742</v>
      </c>
      <c r="C10" s="303" t="s">
        <v>155</v>
      </c>
      <c r="D10" s="304" t="s">
        <v>141</v>
      </c>
      <c r="E10" s="305" t="s">
        <v>91</v>
      </c>
      <c r="F10" s="306">
        <v>8</v>
      </c>
      <c r="G10" s="307" t="s">
        <v>246</v>
      </c>
      <c r="H10" s="308">
        <v>5</v>
      </c>
      <c r="I10" s="304" t="s">
        <v>154</v>
      </c>
      <c r="J10" s="309" t="s">
        <v>92</v>
      </c>
      <c r="K10" s="310">
        <v>44159</v>
      </c>
      <c r="L10" s="311">
        <v>34722</v>
      </c>
      <c r="M10" s="312">
        <f t="shared" ca="1" si="15"/>
        <v>27</v>
      </c>
      <c r="N10" s="313" t="s">
        <v>144</v>
      </c>
      <c r="O10" s="314" t="s">
        <v>188</v>
      </c>
      <c r="P10" s="315">
        <f t="shared" si="0"/>
        <v>30</v>
      </c>
      <c r="Q10" s="316"/>
      <c r="R10" s="316"/>
      <c r="S10" s="316"/>
      <c r="T10" s="317"/>
      <c r="U10" s="301">
        <v>30</v>
      </c>
      <c r="V10" s="316"/>
      <c r="W10" s="316"/>
      <c r="X10" s="316"/>
      <c r="Y10" s="318">
        <f t="shared" si="8"/>
        <v>19800</v>
      </c>
      <c r="Z10" s="318">
        <f t="shared" si="9"/>
        <v>7500</v>
      </c>
      <c r="AA10" s="318">
        <f t="shared" si="10"/>
        <v>2700</v>
      </c>
      <c r="AB10" s="319">
        <v>0</v>
      </c>
      <c r="AC10" s="319">
        <v>0</v>
      </c>
      <c r="AD10" s="319">
        <v>30000</v>
      </c>
      <c r="AE10" s="320"/>
      <c r="AF10" s="318"/>
      <c r="AG10" s="319">
        <f t="shared" si="11"/>
        <v>30000</v>
      </c>
      <c r="AH10" s="321"/>
      <c r="AI10" s="302">
        <v>44562</v>
      </c>
      <c r="AJ10" s="320">
        <f t="shared" si="12"/>
        <v>1980</v>
      </c>
      <c r="AK10" s="320">
        <f t="shared" si="4"/>
        <v>1980</v>
      </c>
      <c r="AL10" s="320"/>
      <c r="AM10" s="312">
        <f t="shared" ca="1" si="5"/>
        <v>23760</v>
      </c>
      <c r="AN10" s="319">
        <f t="shared" si="6"/>
        <v>28020</v>
      </c>
      <c r="AO10" s="322">
        <f t="shared" si="16"/>
        <v>0</v>
      </c>
      <c r="AP10" s="322">
        <f>VLOOKUP(C10,'Tax Calculations'!$D$5:$AS$38,42,FALSE)</f>
        <v>0</v>
      </c>
      <c r="AQ10" s="322"/>
      <c r="AR10" s="323">
        <f t="shared" si="7"/>
        <v>1364</v>
      </c>
      <c r="AS10" s="324">
        <f t="shared" si="13"/>
        <v>0</v>
      </c>
      <c r="AT10" s="324"/>
      <c r="AU10" s="324">
        <v>5000</v>
      </c>
      <c r="AV10" s="324"/>
      <c r="AW10" s="324"/>
      <c r="AX10" s="324"/>
      <c r="AY10" s="322"/>
      <c r="AZ10" s="325">
        <f t="shared" si="14"/>
        <v>33020</v>
      </c>
      <c r="BA10" s="326"/>
      <c r="BB10" s="327" t="s">
        <v>320</v>
      </c>
      <c r="BC10" s="292"/>
    </row>
    <row r="11" spans="1:55" ht="14.45" customHeight="1">
      <c r="A11" s="301">
        <v>9</v>
      </c>
      <c r="B11" s="302">
        <v>44742</v>
      </c>
      <c r="C11" s="303">
        <v>3840703396647</v>
      </c>
      <c r="D11" s="304" t="s">
        <v>139</v>
      </c>
      <c r="E11" s="305" t="s">
        <v>91</v>
      </c>
      <c r="F11" s="306">
        <v>21</v>
      </c>
      <c r="G11" s="330" t="s">
        <v>251</v>
      </c>
      <c r="H11" s="308">
        <v>8</v>
      </c>
      <c r="I11" s="304" t="s">
        <v>156</v>
      </c>
      <c r="J11" s="309" t="s">
        <v>92</v>
      </c>
      <c r="K11" s="310">
        <v>44075</v>
      </c>
      <c r="L11" s="311">
        <v>35879</v>
      </c>
      <c r="M11" s="312">
        <f t="shared" ca="1" si="15"/>
        <v>24</v>
      </c>
      <c r="N11" s="313" t="s">
        <v>157</v>
      </c>
      <c r="O11" s="314" t="s">
        <v>187</v>
      </c>
      <c r="P11" s="315">
        <f t="shared" si="0"/>
        <v>30</v>
      </c>
      <c r="Q11" s="316"/>
      <c r="R11" s="316"/>
      <c r="S11" s="316"/>
      <c r="T11" s="317"/>
      <c r="U11" s="301">
        <v>30</v>
      </c>
      <c r="V11" s="316"/>
      <c r="W11" s="316"/>
      <c r="X11" s="316"/>
      <c r="Y11" s="318">
        <f t="shared" si="8"/>
        <v>19800</v>
      </c>
      <c r="Z11" s="318">
        <f t="shared" si="9"/>
        <v>7500</v>
      </c>
      <c r="AA11" s="318">
        <f t="shared" si="10"/>
        <v>2700</v>
      </c>
      <c r="AB11" s="319">
        <v>0</v>
      </c>
      <c r="AC11" s="319">
        <v>0</v>
      </c>
      <c r="AD11" s="319">
        <v>30000</v>
      </c>
      <c r="AE11" s="320"/>
      <c r="AF11" s="318"/>
      <c r="AG11" s="319">
        <f t="shared" si="11"/>
        <v>30000</v>
      </c>
      <c r="AH11" s="321"/>
      <c r="AI11" s="302">
        <v>44562</v>
      </c>
      <c r="AJ11" s="320">
        <f t="shared" si="12"/>
        <v>1980</v>
      </c>
      <c r="AK11" s="320">
        <f t="shared" si="4"/>
        <v>1980</v>
      </c>
      <c r="AL11" s="320"/>
      <c r="AM11" s="312">
        <f t="shared" ca="1" si="5"/>
        <v>23760</v>
      </c>
      <c r="AN11" s="319">
        <f t="shared" si="6"/>
        <v>28020</v>
      </c>
      <c r="AO11" s="322">
        <f t="shared" si="16"/>
        <v>0</v>
      </c>
      <c r="AP11" s="322">
        <f>VLOOKUP(C11,'Tax Calculations'!$D$5:$AS$38,42,FALSE)</f>
        <v>0</v>
      </c>
      <c r="AQ11" s="322"/>
      <c r="AR11" s="323">
        <f t="shared" si="7"/>
        <v>1364</v>
      </c>
      <c r="AS11" s="324">
        <f t="shared" si="13"/>
        <v>0</v>
      </c>
      <c r="AT11" s="324"/>
      <c r="AU11" s="324">
        <v>5000</v>
      </c>
      <c r="AV11" s="324"/>
      <c r="AW11" s="324"/>
      <c r="AX11" s="324"/>
      <c r="AY11" s="322"/>
      <c r="AZ11" s="325">
        <f t="shared" si="14"/>
        <v>33020</v>
      </c>
      <c r="BA11" s="326"/>
      <c r="BB11" s="327" t="s">
        <v>321</v>
      </c>
      <c r="BC11" s="292"/>
    </row>
    <row r="12" spans="1:55" ht="14.45" customHeight="1">
      <c r="A12" s="301">
        <v>10</v>
      </c>
      <c r="B12" s="302">
        <v>44742</v>
      </c>
      <c r="C12" s="303" t="s">
        <v>158</v>
      </c>
      <c r="D12" s="304" t="s">
        <v>141</v>
      </c>
      <c r="E12" s="305" t="s">
        <v>91</v>
      </c>
      <c r="F12" s="306">
        <v>12</v>
      </c>
      <c r="G12" s="307" t="s">
        <v>113</v>
      </c>
      <c r="H12" s="308">
        <v>6</v>
      </c>
      <c r="I12" s="304" t="s">
        <v>153</v>
      </c>
      <c r="J12" s="309" t="s">
        <v>92</v>
      </c>
      <c r="K12" s="310">
        <v>44222</v>
      </c>
      <c r="L12" s="311">
        <v>33584</v>
      </c>
      <c r="M12" s="312">
        <f t="shared" ca="1" si="15"/>
        <v>30</v>
      </c>
      <c r="N12" s="313" t="s">
        <v>144</v>
      </c>
      <c r="O12" s="314">
        <v>11330106689179</v>
      </c>
      <c r="P12" s="315">
        <f t="shared" si="0"/>
        <v>30</v>
      </c>
      <c r="Q12" s="316"/>
      <c r="R12" s="316"/>
      <c r="S12" s="316"/>
      <c r="T12" s="317"/>
      <c r="U12" s="301">
        <v>30</v>
      </c>
      <c r="V12" s="316"/>
      <c r="W12" s="316"/>
      <c r="X12" s="316"/>
      <c r="Y12" s="318">
        <f t="shared" si="8"/>
        <v>19800</v>
      </c>
      <c r="Z12" s="318">
        <f t="shared" si="9"/>
        <v>7500</v>
      </c>
      <c r="AA12" s="318">
        <f t="shared" si="10"/>
        <v>2700</v>
      </c>
      <c r="AB12" s="319">
        <v>0</v>
      </c>
      <c r="AC12" s="319">
        <v>0</v>
      </c>
      <c r="AD12" s="319">
        <v>30000</v>
      </c>
      <c r="AE12" s="320"/>
      <c r="AF12" s="318"/>
      <c r="AG12" s="319">
        <f t="shared" si="11"/>
        <v>30000</v>
      </c>
      <c r="AH12" s="321"/>
      <c r="AI12" s="302">
        <v>44562</v>
      </c>
      <c r="AJ12" s="320">
        <f t="shared" si="12"/>
        <v>1980</v>
      </c>
      <c r="AK12" s="320">
        <f t="shared" si="4"/>
        <v>1980</v>
      </c>
      <c r="AL12" s="320"/>
      <c r="AM12" s="312">
        <f t="shared" ca="1" si="5"/>
        <v>23760</v>
      </c>
      <c r="AN12" s="319">
        <f t="shared" si="6"/>
        <v>28020</v>
      </c>
      <c r="AO12" s="322">
        <f t="shared" si="16"/>
        <v>0</v>
      </c>
      <c r="AP12" s="322">
        <f>VLOOKUP(C12,'Tax Calculations'!$D$5:$AS$38,42,FALSE)</f>
        <v>0</v>
      </c>
      <c r="AQ12" s="322">
        <v>5</v>
      </c>
      <c r="AR12" s="323">
        <f t="shared" si="7"/>
        <v>1364</v>
      </c>
      <c r="AS12" s="324">
        <f t="shared" si="13"/>
        <v>6820</v>
      </c>
      <c r="AT12" s="324"/>
      <c r="AU12" s="324">
        <v>5000</v>
      </c>
      <c r="AV12" s="324"/>
      <c r="AW12" s="324"/>
      <c r="AX12" s="324"/>
      <c r="AY12" s="322"/>
      <c r="AZ12" s="325">
        <f t="shared" si="14"/>
        <v>26200</v>
      </c>
      <c r="BA12" s="326"/>
      <c r="BB12" s="327" t="s">
        <v>320</v>
      </c>
      <c r="BC12" s="292"/>
    </row>
    <row r="13" spans="1:55" ht="14.45" customHeight="1">
      <c r="A13" s="301">
        <v>11</v>
      </c>
      <c r="B13" s="302">
        <v>44742</v>
      </c>
      <c r="C13" s="303" t="s">
        <v>159</v>
      </c>
      <c r="D13" s="304" t="s">
        <v>141</v>
      </c>
      <c r="E13" s="305" t="s">
        <v>91</v>
      </c>
      <c r="F13" s="306">
        <v>14</v>
      </c>
      <c r="G13" s="330" t="s">
        <v>347</v>
      </c>
      <c r="H13" s="308">
        <v>7</v>
      </c>
      <c r="I13" s="304" t="s">
        <v>151</v>
      </c>
      <c r="J13" s="309" t="s">
        <v>92</v>
      </c>
      <c r="K13" s="310">
        <v>44257</v>
      </c>
      <c r="L13" s="311">
        <v>35049</v>
      </c>
      <c r="M13" s="312">
        <f t="shared" ca="1" si="15"/>
        <v>26</v>
      </c>
      <c r="N13" s="313" t="s">
        <v>160</v>
      </c>
      <c r="O13" s="314" t="s">
        <v>189</v>
      </c>
      <c r="P13" s="315">
        <f t="shared" si="0"/>
        <v>30</v>
      </c>
      <c r="Q13" s="316"/>
      <c r="R13" s="316"/>
      <c r="S13" s="316"/>
      <c r="T13" s="317"/>
      <c r="U13" s="301">
        <v>30</v>
      </c>
      <c r="V13" s="316"/>
      <c r="W13" s="316"/>
      <c r="X13" s="316"/>
      <c r="Y13" s="318">
        <f t="shared" si="8"/>
        <v>19800</v>
      </c>
      <c r="Z13" s="318">
        <f t="shared" si="9"/>
        <v>7500</v>
      </c>
      <c r="AA13" s="318">
        <f t="shared" si="10"/>
        <v>2700</v>
      </c>
      <c r="AB13" s="319">
        <v>0</v>
      </c>
      <c r="AC13" s="319">
        <v>0</v>
      </c>
      <c r="AD13" s="319">
        <v>30000</v>
      </c>
      <c r="AE13" s="320"/>
      <c r="AF13" s="318"/>
      <c r="AG13" s="319">
        <f t="shared" si="11"/>
        <v>30000</v>
      </c>
      <c r="AH13" s="321"/>
      <c r="AI13" s="302">
        <v>44562</v>
      </c>
      <c r="AJ13" s="320">
        <f t="shared" si="12"/>
        <v>1980</v>
      </c>
      <c r="AK13" s="320">
        <f t="shared" si="4"/>
        <v>1980</v>
      </c>
      <c r="AL13" s="320"/>
      <c r="AM13" s="312">
        <f t="shared" ca="1" si="5"/>
        <v>23760</v>
      </c>
      <c r="AN13" s="319">
        <f t="shared" si="6"/>
        <v>28020</v>
      </c>
      <c r="AO13" s="322">
        <f t="shared" si="16"/>
        <v>0</v>
      </c>
      <c r="AP13" s="322">
        <f>VLOOKUP(C13,'Tax Calculations'!$D$5:$AS$38,42,FALSE)</f>
        <v>0</v>
      </c>
      <c r="AQ13" s="322"/>
      <c r="AR13" s="323">
        <f t="shared" si="7"/>
        <v>1364</v>
      </c>
      <c r="AS13" s="324">
        <f t="shared" si="13"/>
        <v>0</v>
      </c>
      <c r="AT13" s="324"/>
      <c r="AU13" s="324">
        <v>5000</v>
      </c>
      <c r="AV13" s="324"/>
      <c r="AW13" s="324"/>
      <c r="AX13" s="324"/>
      <c r="AY13" s="322"/>
      <c r="AZ13" s="325">
        <f t="shared" si="14"/>
        <v>33020</v>
      </c>
      <c r="BA13" s="326"/>
      <c r="BB13" s="327" t="s">
        <v>321</v>
      </c>
      <c r="BC13" s="292"/>
    </row>
    <row r="14" spans="1:55" ht="14.45" customHeight="1">
      <c r="A14" s="301">
        <v>12</v>
      </c>
      <c r="B14" s="302">
        <v>44742</v>
      </c>
      <c r="C14" s="303" t="s">
        <v>161</v>
      </c>
      <c r="D14" s="304" t="s">
        <v>141</v>
      </c>
      <c r="E14" s="305" t="s">
        <v>91</v>
      </c>
      <c r="F14" s="306">
        <v>19</v>
      </c>
      <c r="G14" s="307" t="s">
        <v>252</v>
      </c>
      <c r="H14" s="308">
        <v>6</v>
      </c>
      <c r="I14" s="304" t="s">
        <v>153</v>
      </c>
      <c r="J14" s="309" t="s">
        <v>92</v>
      </c>
      <c r="K14" s="310">
        <v>44335</v>
      </c>
      <c r="L14" s="311">
        <v>36451</v>
      </c>
      <c r="M14" s="312">
        <f t="shared" ca="1" si="15"/>
        <v>22</v>
      </c>
      <c r="N14" s="313" t="s">
        <v>144</v>
      </c>
      <c r="O14" s="314" t="s">
        <v>314</v>
      </c>
      <c r="P14" s="315">
        <f t="shared" si="0"/>
        <v>30</v>
      </c>
      <c r="Q14" s="316"/>
      <c r="R14" s="316"/>
      <c r="S14" s="316"/>
      <c r="T14" s="317"/>
      <c r="U14" s="301">
        <v>30</v>
      </c>
      <c r="V14" s="316"/>
      <c r="W14" s="316"/>
      <c r="X14" s="316"/>
      <c r="Y14" s="318">
        <f t="shared" si="8"/>
        <v>19800</v>
      </c>
      <c r="Z14" s="318">
        <f t="shared" si="9"/>
        <v>7500</v>
      </c>
      <c r="AA14" s="318">
        <f t="shared" si="10"/>
        <v>2700</v>
      </c>
      <c r="AB14" s="319">
        <v>0</v>
      </c>
      <c r="AC14" s="319">
        <v>0</v>
      </c>
      <c r="AD14" s="319">
        <v>30000</v>
      </c>
      <c r="AE14" s="320"/>
      <c r="AF14" s="318"/>
      <c r="AG14" s="319">
        <f t="shared" si="11"/>
        <v>30000</v>
      </c>
      <c r="AH14" s="321"/>
      <c r="AI14" s="302">
        <v>44562</v>
      </c>
      <c r="AJ14" s="320">
        <f t="shared" si="12"/>
        <v>1980</v>
      </c>
      <c r="AK14" s="320">
        <f t="shared" si="4"/>
        <v>1980</v>
      </c>
      <c r="AL14" s="320"/>
      <c r="AM14" s="312">
        <f t="shared" ca="1" si="5"/>
        <v>23760</v>
      </c>
      <c r="AN14" s="319">
        <f t="shared" si="6"/>
        <v>28020</v>
      </c>
      <c r="AO14" s="322">
        <f t="shared" si="16"/>
        <v>0</v>
      </c>
      <c r="AP14" s="322">
        <f>VLOOKUP(C14,'Tax Calculations'!$D$5:$AS$38,42,FALSE)</f>
        <v>0</v>
      </c>
      <c r="AQ14" s="322"/>
      <c r="AR14" s="323">
        <f t="shared" si="7"/>
        <v>1364</v>
      </c>
      <c r="AS14" s="324">
        <f t="shared" si="13"/>
        <v>0</v>
      </c>
      <c r="AT14" s="324">
        <v>2000</v>
      </c>
      <c r="AU14" s="324">
        <v>5000</v>
      </c>
      <c r="AV14" s="324"/>
      <c r="AW14" s="324"/>
      <c r="AX14" s="324"/>
      <c r="AY14" s="322"/>
      <c r="AZ14" s="325">
        <f t="shared" si="14"/>
        <v>35020</v>
      </c>
      <c r="BA14" s="326"/>
      <c r="BB14" s="327" t="s">
        <v>320</v>
      </c>
      <c r="BC14" s="292"/>
    </row>
    <row r="15" spans="1:55" ht="14.45" customHeight="1">
      <c r="A15" s="301">
        <v>13</v>
      </c>
      <c r="B15" s="302">
        <v>44742</v>
      </c>
      <c r="C15" s="303">
        <v>3450231247297</v>
      </c>
      <c r="D15" s="304" t="s">
        <v>141</v>
      </c>
      <c r="E15" s="305" t="s">
        <v>91</v>
      </c>
      <c r="F15" s="306">
        <v>4</v>
      </c>
      <c r="G15" s="330" t="s">
        <v>116</v>
      </c>
      <c r="H15" s="308">
        <v>8</v>
      </c>
      <c r="I15" s="304" t="s">
        <v>162</v>
      </c>
      <c r="J15" s="309" t="s">
        <v>92</v>
      </c>
      <c r="K15" s="310">
        <v>44438</v>
      </c>
      <c r="L15" s="311">
        <v>37288</v>
      </c>
      <c r="M15" s="312">
        <f t="shared" ca="1" si="15"/>
        <v>20</v>
      </c>
      <c r="N15" s="313" t="s">
        <v>163</v>
      </c>
      <c r="O15" s="314" t="s">
        <v>190</v>
      </c>
      <c r="P15" s="315">
        <f t="shared" si="0"/>
        <v>30</v>
      </c>
      <c r="Q15" s="316"/>
      <c r="R15" s="316"/>
      <c r="S15" s="316"/>
      <c r="T15" s="317"/>
      <c r="U15" s="301">
        <v>30</v>
      </c>
      <c r="V15" s="316"/>
      <c r="W15" s="316"/>
      <c r="X15" s="316"/>
      <c r="Y15" s="318">
        <f t="shared" si="8"/>
        <v>19800</v>
      </c>
      <c r="Z15" s="318">
        <f t="shared" si="9"/>
        <v>7500</v>
      </c>
      <c r="AA15" s="318">
        <f t="shared" si="10"/>
        <v>2700</v>
      </c>
      <c r="AB15" s="319">
        <v>0</v>
      </c>
      <c r="AC15" s="319">
        <v>0</v>
      </c>
      <c r="AD15" s="319">
        <v>30000</v>
      </c>
      <c r="AE15" s="320"/>
      <c r="AF15" s="318"/>
      <c r="AG15" s="319">
        <f t="shared" si="11"/>
        <v>30000</v>
      </c>
      <c r="AH15" s="321"/>
      <c r="AI15" s="302">
        <v>44562</v>
      </c>
      <c r="AJ15" s="320">
        <f t="shared" si="12"/>
        <v>1980</v>
      </c>
      <c r="AK15" s="320">
        <f t="shared" si="4"/>
        <v>1980</v>
      </c>
      <c r="AL15" s="320"/>
      <c r="AM15" s="312">
        <f t="shared" ca="1" si="5"/>
        <v>23760</v>
      </c>
      <c r="AN15" s="319">
        <f t="shared" si="6"/>
        <v>28020</v>
      </c>
      <c r="AO15" s="322">
        <f t="shared" si="16"/>
        <v>0</v>
      </c>
      <c r="AP15" s="322">
        <f>VLOOKUP(C15,'Tax Calculations'!$D$5:$AS$38,42,FALSE)</f>
        <v>0</v>
      </c>
      <c r="AQ15" s="322"/>
      <c r="AR15" s="323">
        <f t="shared" si="7"/>
        <v>1364</v>
      </c>
      <c r="AS15" s="324">
        <f t="shared" si="13"/>
        <v>0</v>
      </c>
      <c r="AT15" s="324"/>
      <c r="AU15" s="324">
        <v>5000</v>
      </c>
      <c r="AV15" s="324"/>
      <c r="AW15" s="324"/>
      <c r="AX15" s="324"/>
      <c r="AY15" s="322"/>
      <c r="AZ15" s="325">
        <f t="shared" si="14"/>
        <v>33020</v>
      </c>
      <c r="BA15" s="326"/>
      <c r="BB15" s="327" t="s">
        <v>321</v>
      </c>
      <c r="BC15" s="292"/>
    </row>
    <row r="16" spans="1:55">
      <c r="A16" s="301">
        <v>14</v>
      </c>
      <c r="B16" s="302">
        <v>44742</v>
      </c>
      <c r="C16" s="303" t="s">
        <v>167</v>
      </c>
      <c r="D16" s="304" t="s">
        <v>142</v>
      </c>
      <c r="E16" s="305" t="s">
        <v>91</v>
      </c>
      <c r="F16" s="306">
        <v>31</v>
      </c>
      <c r="G16" s="307" t="s">
        <v>256</v>
      </c>
      <c r="H16" s="308">
        <v>5</v>
      </c>
      <c r="I16" s="304" t="s">
        <v>154</v>
      </c>
      <c r="J16" s="309" t="s">
        <v>92</v>
      </c>
      <c r="K16" s="310">
        <v>44452</v>
      </c>
      <c r="L16" s="311">
        <v>34182</v>
      </c>
      <c r="M16" s="312">
        <f t="shared" ca="1" si="15"/>
        <v>28</v>
      </c>
      <c r="N16" s="313" t="s">
        <v>144</v>
      </c>
      <c r="O16" s="314" t="s">
        <v>194</v>
      </c>
      <c r="P16" s="315">
        <f t="shared" si="0"/>
        <v>30</v>
      </c>
      <c r="Q16" s="316"/>
      <c r="R16" s="316"/>
      <c r="S16" s="316"/>
      <c r="T16" s="317"/>
      <c r="U16" s="301">
        <v>30</v>
      </c>
      <c r="V16" s="316"/>
      <c r="W16" s="316"/>
      <c r="X16" s="316"/>
      <c r="Y16" s="318">
        <f t="shared" si="8"/>
        <v>19800</v>
      </c>
      <c r="Z16" s="318">
        <f t="shared" si="9"/>
        <v>7500</v>
      </c>
      <c r="AA16" s="318">
        <f t="shared" si="10"/>
        <v>2700</v>
      </c>
      <c r="AB16" s="319">
        <v>0</v>
      </c>
      <c r="AC16" s="319">
        <v>0</v>
      </c>
      <c r="AD16" s="319">
        <v>30000</v>
      </c>
      <c r="AE16" s="320"/>
      <c r="AF16" s="318"/>
      <c r="AG16" s="319">
        <f t="shared" si="11"/>
        <v>30000</v>
      </c>
      <c r="AH16" s="321"/>
      <c r="AI16" s="302">
        <v>44562</v>
      </c>
      <c r="AJ16" s="320">
        <f t="shared" si="12"/>
        <v>1980</v>
      </c>
      <c r="AK16" s="320">
        <f t="shared" si="4"/>
        <v>1980</v>
      </c>
      <c r="AL16" s="320"/>
      <c r="AM16" s="312">
        <f t="shared" ca="1" si="5"/>
        <v>23760</v>
      </c>
      <c r="AN16" s="319">
        <f t="shared" si="6"/>
        <v>28020</v>
      </c>
      <c r="AO16" s="322">
        <f t="shared" si="16"/>
        <v>0</v>
      </c>
      <c r="AP16" s="322">
        <f>VLOOKUP(C16,'Tax Calculations'!$D$5:$AS$38,42,FALSE)</f>
        <v>0</v>
      </c>
      <c r="AQ16" s="322"/>
      <c r="AR16" s="323">
        <f t="shared" si="7"/>
        <v>1364</v>
      </c>
      <c r="AS16" s="324">
        <f t="shared" si="13"/>
        <v>0</v>
      </c>
      <c r="AT16" s="324"/>
      <c r="AU16" s="324">
        <v>2500</v>
      </c>
      <c r="AV16" s="324"/>
      <c r="AW16" s="324"/>
      <c r="AX16" s="324"/>
      <c r="AY16" s="322"/>
      <c r="AZ16" s="325">
        <f t="shared" si="14"/>
        <v>30520</v>
      </c>
      <c r="BA16" s="326"/>
      <c r="BB16" s="327" t="s">
        <v>320</v>
      </c>
      <c r="BC16" s="292"/>
    </row>
    <row r="17" spans="1:57" ht="14.45" customHeight="1">
      <c r="A17" s="301">
        <v>15</v>
      </c>
      <c r="B17" s="302">
        <v>44742</v>
      </c>
      <c r="C17" s="303" t="s">
        <v>169</v>
      </c>
      <c r="D17" s="304" t="s">
        <v>141</v>
      </c>
      <c r="E17" s="305" t="s">
        <v>91</v>
      </c>
      <c r="F17" s="306">
        <v>36</v>
      </c>
      <c r="G17" s="330" t="s">
        <v>122</v>
      </c>
      <c r="H17" s="308">
        <v>8</v>
      </c>
      <c r="I17" s="304" t="s">
        <v>162</v>
      </c>
      <c r="J17" s="309" t="s">
        <v>92</v>
      </c>
      <c r="K17" s="310">
        <v>44502</v>
      </c>
      <c r="L17" s="311">
        <v>35352</v>
      </c>
      <c r="M17" s="312">
        <f t="shared" ca="1" si="15"/>
        <v>25</v>
      </c>
      <c r="N17" s="313" t="s">
        <v>170</v>
      </c>
      <c r="O17" s="314" t="s">
        <v>196</v>
      </c>
      <c r="P17" s="315">
        <f t="shared" si="0"/>
        <v>30</v>
      </c>
      <c r="Q17" s="316"/>
      <c r="R17" s="316"/>
      <c r="S17" s="316"/>
      <c r="T17" s="317"/>
      <c r="U17" s="301">
        <v>30</v>
      </c>
      <c r="V17" s="316"/>
      <c r="W17" s="316"/>
      <c r="X17" s="316"/>
      <c r="Y17" s="318">
        <f t="shared" si="8"/>
        <v>19800</v>
      </c>
      <c r="Z17" s="318">
        <f t="shared" si="9"/>
        <v>7500</v>
      </c>
      <c r="AA17" s="318">
        <f t="shared" si="10"/>
        <v>2700</v>
      </c>
      <c r="AB17" s="319">
        <v>0</v>
      </c>
      <c r="AC17" s="319">
        <v>0</v>
      </c>
      <c r="AD17" s="319">
        <v>30000</v>
      </c>
      <c r="AE17" s="320"/>
      <c r="AF17" s="318"/>
      <c r="AG17" s="319">
        <f t="shared" si="11"/>
        <v>30000</v>
      </c>
      <c r="AH17" s="321"/>
      <c r="AI17" s="302">
        <v>44562</v>
      </c>
      <c r="AJ17" s="320">
        <f t="shared" si="12"/>
        <v>1980</v>
      </c>
      <c r="AK17" s="320">
        <f t="shared" si="4"/>
        <v>1980</v>
      </c>
      <c r="AL17" s="320"/>
      <c r="AM17" s="312">
        <f t="shared" ca="1" si="5"/>
        <v>23760</v>
      </c>
      <c r="AN17" s="319">
        <f t="shared" si="6"/>
        <v>28020</v>
      </c>
      <c r="AO17" s="322">
        <f t="shared" si="16"/>
        <v>0</v>
      </c>
      <c r="AP17" s="322">
        <f>VLOOKUP(C17,'Tax Calculations'!$D$5:$AS$38,42,FALSE)</f>
        <v>0</v>
      </c>
      <c r="AQ17" s="322">
        <v>17</v>
      </c>
      <c r="AR17" s="323">
        <f t="shared" si="7"/>
        <v>1364</v>
      </c>
      <c r="AS17" s="324">
        <f t="shared" si="13"/>
        <v>23188</v>
      </c>
      <c r="AT17" s="324"/>
      <c r="AU17" s="324">
        <v>5000</v>
      </c>
      <c r="AV17" s="324"/>
      <c r="AW17" s="324"/>
      <c r="AX17" s="324"/>
      <c r="AY17" s="322"/>
      <c r="AZ17" s="325">
        <f t="shared" si="14"/>
        <v>9832</v>
      </c>
      <c r="BA17" s="326"/>
      <c r="BB17" s="327" t="s">
        <v>321</v>
      </c>
      <c r="BC17" s="292"/>
    </row>
    <row r="18" spans="1:57">
      <c r="A18" s="301">
        <v>16</v>
      </c>
      <c r="B18" s="302">
        <v>44742</v>
      </c>
      <c r="C18" s="303" t="s">
        <v>171</v>
      </c>
      <c r="D18" s="304" t="s">
        <v>392</v>
      </c>
      <c r="E18" s="305" t="s">
        <v>91</v>
      </c>
      <c r="F18" s="306">
        <v>37</v>
      </c>
      <c r="G18" s="307" t="s">
        <v>100</v>
      </c>
      <c r="H18" s="308">
        <v>8</v>
      </c>
      <c r="I18" s="304" t="s">
        <v>162</v>
      </c>
      <c r="J18" s="309" t="s">
        <v>92</v>
      </c>
      <c r="K18" s="310">
        <v>44501</v>
      </c>
      <c r="L18" s="311">
        <v>36581</v>
      </c>
      <c r="M18" s="312">
        <f t="shared" ca="1" si="15"/>
        <v>22</v>
      </c>
      <c r="N18" s="313" t="s">
        <v>144</v>
      </c>
      <c r="O18" s="314" t="s">
        <v>195</v>
      </c>
      <c r="P18" s="315">
        <f t="shared" si="0"/>
        <v>30</v>
      </c>
      <c r="Q18" s="316"/>
      <c r="R18" s="316"/>
      <c r="S18" s="316"/>
      <c r="T18" s="317"/>
      <c r="U18" s="301">
        <v>30</v>
      </c>
      <c r="V18" s="316"/>
      <c r="W18" s="316"/>
      <c r="X18" s="316"/>
      <c r="Y18" s="318">
        <f t="shared" si="8"/>
        <v>19800</v>
      </c>
      <c r="Z18" s="318">
        <f t="shared" si="9"/>
        <v>7500</v>
      </c>
      <c r="AA18" s="318">
        <f t="shared" si="10"/>
        <v>2700</v>
      </c>
      <c r="AB18" s="319">
        <v>0</v>
      </c>
      <c r="AC18" s="319">
        <v>0</v>
      </c>
      <c r="AD18" s="319">
        <v>30000</v>
      </c>
      <c r="AE18" s="320"/>
      <c r="AF18" s="318"/>
      <c r="AG18" s="319">
        <f t="shared" si="11"/>
        <v>30000</v>
      </c>
      <c r="AH18" s="321"/>
      <c r="AI18" s="302">
        <v>44562</v>
      </c>
      <c r="AJ18" s="320">
        <f t="shared" si="12"/>
        <v>1980</v>
      </c>
      <c r="AK18" s="320">
        <f t="shared" si="4"/>
        <v>1980</v>
      </c>
      <c r="AL18" s="320"/>
      <c r="AM18" s="312">
        <f t="shared" ca="1" si="5"/>
        <v>23760</v>
      </c>
      <c r="AN18" s="319">
        <f t="shared" si="6"/>
        <v>28020</v>
      </c>
      <c r="AO18" s="322">
        <f t="shared" si="16"/>
        <v>0</v>
      </c>
      <c r="AP18" s="322">
        <f>VLOOKUP(C18,'Tax Calculations'!$D$5:$AS$38,42,FALSE)</f>
        <v>0</v>
      </c>
      <c r="AQ18" s="322"/>
      <c r="AR18" s="323">
        <f t="shared" si="7"/>
        <v>1364</v>
      </c>
      <c r="AS18" s="324">
        <f t="shared" si="13"/>
        <v>0</v>
      </c>
      <c r="AT18" s="324">
        <v>2000</v>
      </c>
      <c r="AU18" s="324">
        <v>5000</v>
      </c>
      <c r="AV18" s="324"/>
      <c r="AW18" s="324"/>
      <c r="AX18" s="324"/>
      <c r="AY18" s="322"/>
      <c r="AZ18" s="325">
        <f t="shared" si="14"/>
        <v>35020</v>
      </c>
      <c r="BA18" s="326"/>
      <c r="BB18" s="327" t="s">
        <v>320</v>
      </c>
      <c r="BC18" s="292"/>
    </row>
    <row r="19" spans="1:57" ht="14.45" customHeight="1">
      <c r="A19" s="301">
        <v>17</v>
      </c>
      <c r="B19" s="302">
        <v>44742</v>
      </c>
      <c r="C19" s="303" t="s">
        <v>175</v>
      </c>
      <c r="D19" s="304" t="s">
        <v>139</v>
      </c>
      <c r="E19" s="305" t="s">
        <v>91</v>
      </c>
      <c r="F19" s="306">
        <v>44</v>
      </c>
      <c r="G19" s="307" t="s">
        <v>124</v>
      </c>
      <c r="H19" s="308">
        <v>3</v>
      </c>
      <c r="I19" s="304" t="s">
        <v>174</v>
      </c>
      <c r="J19" s="309" t="s">
        <v>92</v>
      </c>
      <c r="K19" s="310">
        <v>44564</v>
      </c>
      <c r="L19" s="311">
        <v>33158</v>
      </c>
      <c r="M19" s="312">
        <f t="shared" ca="1" si="15"/>
        <v>31</v>
      </c>
      <c r="N19" s="313" t="s">
        <v>144</v>
      </c>
      <c r="O19" s="314" t="s">
        <v>315</v>
      </c>
      <c r="P19" s="315">
        <f t="shared" si="0"/>
        <v>30</v>
      </c>
      <c r="Q19" s="316"/>
      <c r="R19" s="316"/>
      <c r="S19" s="316"/>
      <c r="T19" s="317"/>
      <c r="U19" s="301">
        <v>30</v>
      </c>
      <c r="V19" s="316"/>
      <c r="W19" s="316"/>
      <c r="X19" s="316"/>
      <c r="Y19" s="318">
        <f t="shared" si="8"/>
        <v>19800</v>
      </c>
      <c r="Z19" s="318">
        <f t="shared" si="9"/>
        <v>7500</v>
      </c>
      <c r="AA19" s="318">
        <f t="shared" si="10"/>
        <v>2700</v>
      </c>
      <c r="AB19" s="319">
        <v>0</v>
      </c>
      <c r="AC19" s="319">
        <v>0</v>
      </c>
      <c r="AD19" s="319">
        <v>30000</v>
      </c>
      <c r="AE19" s="320"/>
      <c r="AF19" s="318"/>
      <c r="AG19" s="319">
        <f t="shared" si="11"/>
        <v>30000</v>
      </c>
      <c r="AH19" s="321"/>
      <c r="AI19" s="302">
        <v>44562</v>
      </c>
      <c r="AJ19" s="320">
        <f t="shared" si="12"/>
        <v>1980</v>
      </c>
      <c r="AK19" s="320">
        <f t="shared" si="4"/>
        <v>1980</v>
      </c>
      <c r="AL19" s="320"/>
      <c r="AM19" s="312">
        <f t="shared" ca="1" si="5"/>
        <v>23760</v>
      </c>
      <c r="AN19" s="319">
        <f t="shared" si="6"/>
        <v>28020</v>
      </c>
      <c r="AO19" s="322">
        <f t="shared" si="16"/>
        <v>0</v>
      </c>
      <c r="AP19" s="322">
        <f>VLOOKUP(C19,'Tax Calculations'!$D$5:$AS$38,42,FALSE)</f>
        <v>0</v>
      </c>
      <c r="AQ19" s="322"/>
      <c r="AR19" s="323">
        <f t="shared" si="7"/>
        <v>1364</v>
      </c>
      <c r="AS19" s="324">
        <f t="shared" si="13"/>
        <v>0</v>
      </c>
      <c r="AT19" s="324"/>
      <c r="AU19" s="324">
        <v>2500</v>
      </c>
      <c r="AV19" s="324"/>
      <c r="AW19" s="324"/>
      <c r="AX19" s="324"/>
      <c r="AY19" s="322"/>
      <c r="AZ19" s="325">
        <f t="shared" si="14"/>
        <v>30520</v>
      </c>
      <c r="BA19" s="326"/>
      <c r="BB19" s="327" t="s">
        <v>320</v>
      </c>
      <c r="BC19" s="292"/>
    </row>
    <row r="20" spans="1:57">
      <c r="A20" s="301">
        <v>18</v>
      </c>
      <c r="B20" s="302">
        <v>44742</v>
      </c>
      <c r="C20" s="303" t="s">
        <v>176</v>
      </c>
      <c r="D20" s="304" t="s">
        <v>392</v>
      </c>
      <c r="E20" s="305" t="s">
        <v>91</v>
      </c>
      <c r="F20" s="306">
        <v>43</v>
      </c>
      <c r="G20" s="307" t="s">
        <v>104</v>
      </c>
      <c r="H20" s="308">
        <v>8</v>
      </c>
      <c r="I20" s="304" t="s">
        <v>162</v>
      </c>
      <c r="J20" s="309" t="s">
        <v>92</v>
      </c>
      <c r="K20" s="310">
        <v>44564</v>
      </c>
      <c r="L20" s="311">
        <v>36806</v>
      </c>
      <c r="M20" s="312">
        <f t="shared" ca="1" si="15"/>
        <v>21</v>
      </c>
      <c r="N20" s="313" t="s">
        <v>144</v>
      </c>
      <c r="O20" s="314" t="s">
        <v>312</v>
      </c>
      <c r="P20" s="315">
        <f t="shared" si="0"/>
        <v>30</v>
      </c>
      <c r="Q20" s="316"/>
      <c r="R20" s="316"/>
      <c r="S20" s="316"/>
      <c r="T20" s="317"/>
      <c r="U20" s="301">
        <v>30</v>
      </c>
      <c r="V20" s="316"/>
      <c r="W20" s="316"/>
      <c r="X20" s="316"/>
      <c r="Y20" s="318">
        <f t="shared" si="8"/>
        <v>19800</v>
      </c>
      <c r="Z20" s="318">
        <f t="shared" si="9"/>
        <v>7500</v>
      </c>
      <c r="AA20" s="318">
        <f t="shared" si="10"/>
        <v>2700</v>
      </c>
      <c r="AB20" s="319">
        <v>0</v>
      </c>
      <c r="AC20" s="319">
        <v>0</v>
      </c>
      <c r="AD20" s="319">
        <v>30000</v>
      </c>
      <c r="AE20" s="320"/>
      <c r="AF20" s="318"/>
      <c r="AG20" s="319">
        <f t="shared" si="11"/>
        <v>30000</v>
      </c>
      <c r="AH20" s="321"/>
      <c r="AI20" s="302">
        <v>44562</v>
      </c>
      <c r="AJ20" s="320">
        <f t="shared" si="12"/>
        <v>1980</v>
      </c>
      <c r="AK20" s="320">
        <f t="shared" si="4"/>
        <v>1980</v>
      </c>
      <c r="AL20" s="320"/>
      <c r="AM20" s="312">
        <f t="shared" ca="1" si="5"/>
        <v>23760</v>
      </c>
      <c r="AN20" s="319">
        <f t="shared" si="6"/>
        <v>28020</v>
      </c>
      <c r="AO20" s="322">
        <f t="shared" si="16"/>
        <v>0</v>
      </c>
      <c r="AP20" s="322">
        <f>VLOOKUP(C20,'Tax Calculations'!$D$5:$AS$38,42,FALSE)</f>
        <v>0</v>
      </c>
      <c r="AQ20" s="322">
        <v>12</v>
      </c>
      <c r="AR20" s="323">
        <f t="shared" si="7"/>
        <v>1364</v>
      </c>
      <c r="AS20" s="324">
        <f t="shared" si="13"/>
        <v>16368</v>
      </c>
      <c r="AT20" s="324"/>
      <c r="AU20" s="324">
        <v>5000</v>
      </c>
      <c r="AV20" s="324"/>
      <c r="AW20" s="324"/>
      <c r="AX20" s="324"/>
      <c r="AY20" s="322"/>
      <c r="AZ20" s="325">
        <f t="shared" si="14"/>
        <v>16652</v>
      </c>
      <c r="BA20" s="326"/>
      <c r="BB20" s="327" t="s">
        <v>320</v>
      </c>
      <c r="BC20" s="292"/>
    </row>
    <row r="21" spans="1:57" ht="14.45" customHeight="1">
      <c r="A21" s="301">
        <v>19</v>
      </c>
      <c r="B21" s="302">
        <v>44742</v>
      </c>
      <c r="C21" s="303" t="s">
        <v>330</v>
      </c>
      <c r="D21" s="304" t="s">
        <v>393</v>
      </c>
      <c r="E21" s="305" t="s">
        <v>91</v>
      </c>
      <c r="F21" s="306">
        <v>38</v>
      </c>
      <c r="G21" s="307" t="s">
        <v>309</v>
      </c>
      <c r="H21" s="308"/>
      <c r="I21" s="304" t="s">
        <v>331</v>
      </c>
      <c r="J21" s="309" t="s">
        <v>92</v>
      </c>
      <c r="K21" s="310">
        <v>44593</v>
      </c>
      <c r="L21" s="311">
        <v>35670</v>
      </c>
      <c r="M21" s="312">
        <f t="shared" ca="1" si="15"/>
        <v>24</v>
      </c>
      <c r="N21" s="313" t="s">
        <v>144</v>
      </c>
      <c r="O21" s="329" t="s">
        <v>358</v>
      </c>
      <c r="P21" s="315">
        <f t="shared" si="0"/>
        <v>30</v>
      </c>
      <c r="Q21" s="316"/>
      <c r="R21" s="316"/>
      <c r="S21" s="316"/>
      <c r="T21" s="317"/>
      <c r="U21" s="301">
        <v>30</v>
      </c>
      <c r="V21" s="316"/>
      <c r="W21" s="316"/>
      <c r="X21" s="316"/>
      <c r="Y21" s="318">
        <f t="shared" si="8"/>
        <v>19800</v>
      </c>
      <c r="Z21" s="318">
        <f t="shared" si="9"/>
        <v>7500</v>
      </c>
      <c r="AA21" s="318">
        <f t="shared" si="10"/>
        <v>2700</v>
      </c>
      <c r="AB21" s="319">
        <v>0</v>
      </c>
      <c r="AC21" s="319">
        <v>0</v>
      </c>
      <c r="AD21" s="319">
        <v>30000</v>
      </c>
      <c r="AE21" s="320"/>
      <c r="AF21" s="318"/>
      <c r="AG21" s="319">
        <f t="shared" si="11"/>
        <v>30000</v>
      </c>
      <c r="AH21" s="321"/>
      <c r="AI21" s="302">
        <v>44593</v>
      </c>
      <c r="AJ21" s="320">
        <f t="shared" si="12"/>
        <v>1980</v>
      </c>
      <c r="AK21" s="320">
        <f t="shared" si="4"/>
        <v>1980</v>
      </c>
      <c r="AL21" s="320"/>
      <c r="AM21" s="312">
        <f t="shared" ca="1" si="5"/>
        <v>19800</v>
      </c>
      <c r="AN21" s="319">
        <f t="shared" si="6"/>
        <v>28020</v>
      </c>
      <c r="AO21" s="322"/>
      <c r="AP21" s="322"/>
      <c r="AQ21" s="322"/>
      <c r="AR21" s="323">
        <f t="shared" si="7"/>
        <v>1364</v>
      </c>
      <c r="AS21" s="324">
        <f t="shared" si="13"/>
        <v>0</v>
      </c>
      <c r="AT21" s="324"/>
      <c r="AU21" s="324">
        <v>2500</v>
      </c>
      <c r="AV21" s="324"/>
      <c r="AW21" s="324"/>
      <c r="AX21" s="324"/>
      <c r="AY21" s="322"/>
      <c r="AZ21" s="325">
        <f t="shared" si="14"/>
        <v>30520</v>
      </c>
      <c r="BA21" s="326"/>
      <c r="BB21" s="327" t="s">
        <v>320</v>
      </c>
      <c r="BC21" s="292"/>
    </row>
    <row r="22" spans="1:57" ht="14.45" customHeight="1">
      <c r="A22" s="301">
        <v>20</v>
      </c>
      <c r="B22" s="302">
        <v>44742</v>
      </c>
      <c r="C22" s="303" t="s">
        <v>357</v>
      </c>
      <c r="D22" s="304" t="s">
        <v>394</v>
      </c>
      <c r="E22" s="305" t="s">
        <v>91</v>
      </c>
      <c r="F22" s="306">
        <v>5</v>
      </c>
      <c r="G22" s="330" t="s">
        <v>308</v>
      </c>
      <c r="H22" s="308"/>
      <c r="I22" s="304"/>
      <c r="J22" s="309" t="s">
        <v>92</v>
      </c>
      <c r="K22" s="310">
        <v>44593</v>
      </c>
      <c r="L22" s="311"/>
      <c r="M22" s="312">
        <f t="shared" ca="1" si="15"/>
        <v>122</v>
      </c>
      <c r="N22" s="313"/>
      <c r="O22" s="331"/>
      <c r="P22" s="315">
        <v>30</v>
      </c>
      <c r="Q22" s="316"/>
      <c r="R22" s="316"/>
      <c r="S22" s="316"/>
      <c r="T22" s="317"/>
      <c r="U22" s="301">
        <v>30</v>
      </c>
      <c r="V22" s="316"/>
      <c r="W22" s="316"/>
      <c r="X22" s="316"/>
      <c r="Y22" s="318">
        <f t="shared" si="8"/>
        <v>19800</v>
      </c>
      <c r="Z22" s="318">
        <f t="shared" si="9"/>
        <v>7500</v>
      </c>
      <c r="AA22" s="318">
        <f t="shared" si="10"/>
        <v>2700</v>
      </c>
      <c r="AB22" s="319">
        <v>0</v>
      </c>
      <c r="AC22" s="319">
        <v>0</v>
      </c>
      <c r="AD22" s="319">
        <v>30000</v>
      </c>
      <c r="AE22" s="320"/>
      <c r="AF22" s="318"/>
      <c r="AG22" s="319">
        <f t="shared" si="11"/>
        <v>30000</v>
      </c>
      <c r="AH22" s="321"/>
      <c r="AI22" s="302">
        <v>44593</v>
      </c>
      <c r="AJ22" s="320">
        <f t="shared" si="12"/>
        <v>1980</v>
      </c>
      <c r="AK22" s="320">
        <f t="shared" si="4"/>
        <v>1980</v>
      </c>
      <c r="AL22" s="320"/>
      <c r="AM22" s="312">
        <f t="shared" ca="1" si="5"/>
        <v>19800</v>
      </c>
      <c r="AN22" s="319">
        <f t="shared" si="6"/>
        <v>28020</v>
      </c>
      <c r="AO22" s="322"/>
      <c r="AP22" s="322"/>
      <c r="AQ22" s="322"/>
      <c r="AR22" s="323">
        <f t="shared" si="7"/>
        <v>1364</v>
      </c>
      <c r="AS22" s="324">
        <f t="shared" si="13"/>
        <v>0</v>
      </c>
      <c r="AT22" s="324"/>
      <c r="AU22" s="324">
        <v>2500</v>
      </c>
      <c r="AV22" s="324"/>
      <c r="AW22" s="324"/>
      <c r="AX22" s="324"/>
      <c r="AY22" s="322"/>
      <c r="AZ22" s="325">
        <f t="shared" si="14"/>
        <v>30520</v>
      </c>
      <c r="BA22" s="326"/>
      <c r="BB22" s="327" t="s">
        <v>321</v>
      </c>
      <c r="BC22" s="292"/>
    </row>
    <row r="23" spans="1:57">
      <c r="A23" s="301">
        <v>21</v>
      </c>
      <c r="B23" s="302">
        <v>44742</v>
      </c>
      <c r="C23" s="303" t="s">
        <v>300</v>
      </c>
      <c r="D23" s="304" t="s">
        <v>392</v>
      </c>
      <c r="E23" s="305" t="s">
        <v>91</v>
      </c>
      <c r="F23" s="306">
        <v>49</v>
      </c>
      <c r="G23" s="307" t="s">
        <v>301</v>
      </c>
      <c r="H23" s="308">
        <v>8</v>
      </c>
      <c r="I23" s="304" t="s">
        <v>162</v>
      </c>
      <c r="J23" s="309" t="s">
        <v>92</v>
      </c>
      <c r="K23" s="310">
        <v>44594</v>
      </c>
      <c r="L23" s="311">
        <v>36685</v>
      </c>
      <c r="M23" s="312">
        <f t="shared" ca="1" si="15"/>
        <v>22</v>
      </c>
      <c r="N23" s="313" t="s">
        <v>144</v>
      </c>
      <c r="O23" s="332" t="s">
        <v>335</v>
      </c>
      <c r="P23" s="315">
        <f t="shared" si="0"/>
        <v>30</v>
      </c>
      <c r="Q23" s="316"/>
      <c r="R23" s="316"/>
      <c r="S23" s="316"/>
      <c r="T23" s="317"/>
      <c r="U23" s="301">
        <v>30</v>
      </c>
      <c r="V23" s="316"/>
      <c r="W23" s="316"/>
      <c r="X23" s="316"/>
      <c r="Y23" s="318">
        <f t="shared" si="8"/>
        <v>19800</v>
      </c>
      <c r="Z23" s="318">
        <f t="shared" si="9"/>
        <v>7500</v>
      </c>
      <c r="AA23" s="318">
        <f t="shared" si="10"/>
        <v>2700</v>
      </c>
      <c r="AB23" s="319">
        <v>0</v>
      </c>
      <c r="AC23" s="319">
        <v>0</v>
      </c>
      <c r="AD23" s="319">
        <v>30000</v>
      </c>
      <c r="AE23" s="320"/>
      <c r="AF23" s="318"/>
      <c r="AG23" s="319">
        <f t="shared" si="11"/>
        <v>30000</v>
      </c>
      <c r="AH23" s="321"/>
      <c r="AI23" s="302">
        <v>44593</v>
      </c>
      <c r="AJ23" s="320">
        <f t="shared" si="12"/>
        <v>1980</v>
      </c>
      <c r="AK23" s="320">
        <f t="shared" si="4"/>
        <v>1980</v>
      </c>
      <c r="AL23" s="320"/>
      <c r="AM23" s="312">
        <f t="shared" ca="1" si="5"/>
        <v>19800</v>
      </c>
      <c r="AN23" s="319">
        <f t="shared" si="6"/>
        <v>28020</v>
      </c>
      <c r="AO23" s="322"/>
      <c r="AP23" s="322"/>
      <c r="AQ23" s="322"/>
      <c r="AR23" s="323">
        <f t="shared" si="7"/>
        <v>1364</v>
      </c>
      <c r="AS23" s="324">
        <f t="shared" si="13"/>
        <v>0</v>
      </c>
      <c r="AT23" s="324">
        <v>2000</v>
      </c>
      <c r="AU23" s="324">
        <v>5000</v>
      </c>
      <c r="AV23" s="324"/>
      <c r="AW23" s="324">
        <v>1300</v>
      </c>
      <c r="AX23" s="324"/>
      <c r="AY23" s="322"/>
      <c r="AZ23" s="325">
        <f t="shared" si="14"/>
        <v>36320</v>
      </c>
      <c r="BA23" s="326"/>
      <c r="BB23" s="327" t="s">
        <v>320</v>
      </c>
      <c r="BC23" s="292"/>
    </row>
    <row r="24" spans="1:57" ht="14.45" customHeight="1">
      <c r="A24" s="301">
        <v>22</v>
      </c>
      <c r="B24" s="302">
        <v>44742</v>
      </c>
      <c r="C24" s="303" t="s">
        <v>303</v>
      </c>
      <c r="D24" s="304" t="s">
        <v>141</v>
      </c>
      <c r="E24" s="305" t="s">
        <v>91</v>
      </c>
      <c r="F24" s="306">
        <v>50</v>
      </c>
      <c r="G24" s="330" t="s">
        <v>302</v>
      </c>
      <c r="H24" s="308">
        <v>8</v>
      </c>
      <c r="I24" s="304" t="s">
        <v>162</v>
      </c>
      <c r="J24" s="309" t="s">
        <v>92</v>
      </c>
      <c r="K24" s="310">
        <v>44613</v>
      </c>
      <c r="L24" s="311">
        <v>35343</v>
      </c>
      <c r="M24" s="312">
        <f t="shared" ca="1" si="15"/>
        <v>25</v>
      </c>
      <c r="N24" s="313" t="s">
        <v>304</v>
      </c>
      <c r="O24" s="332">
        <v>6147901244803</v>
      </c>
      <c r="P24" s="315">
        <f t="shared" si="0"/>
        <v>30</v>
      </c>
      <c r="Q24" s="316"/>
      <c r="R24" s="316"/>
      <c r="S24" s="316"/>
      <c r="T24" s="317"/>
      <c r="U24" s="301">
        <v>30</v>
      </c>
      <c r="V24" s="316"/>
      <c r="W24" s="316"/>
      <c r="X24" s="316"/>
      <c r="Y24" s="318">
        <f t="shared" si="8"/>
        <v>19800</v>
      </c>
      <c r="Z24" s="318">
        <f t="shared" si="9"/>
        <v>7500</v>
      </c>
      <c r="AA24" s="318">
        <f t="shared" si="10"/>
        <v>2700</v>
      </c>
      <c r="AB24" s="319">
        <v>0</v>
      </c>
      <c r="AC24" s="319">
        <v>0</v>
      </c>
      <c r="AD24" s="319">
        <v>30000</v>
      </c>
      <c r="AE24" s="320"/>
      <c r="AF24" s="318"/>
      <c r="AG24" s="319">
        <f t="shared" si="11"/>
        <v>30000</v>
      </c>
      <c r="AH24" s="321"/>
      <c r="AI24" s="302">
        <v>44620</v>
      </c>
      <c r="AJ24" s="320">
        <f t="shared" si="12"/>
        <v>1980</v>
      </c>
      <c r="AK24" s="320">
        <f t="shared" si="4"/>
        <v>1980</v>
      </c>
      <c r="AL24" s="320"/>
      <c r="AM24" s="312">
        <f t="shared" ca="1" si="5"/>
        <v>15840</v>
      </c>
      <c r="AN24" s="319">
        <f t="shared" si="6"/>
        <v>28020</v>
      </c>
      <c r="AO24" s="322"/>
      <c r="AP24" s="322"/>
      <c r="AQ24" s="322"/>
      <c r="AR24" s="323">
        <f t="shared" si="7"/>
        <v>1364</v>
      </c>
      <c r="AS24" s="324">
        <f t="shared" si="13"/>
        <v>0</v>
      </c>
      <c r="AT24" s="324"/>
      <c r="AU24" s="324">
        <v>5000</v>
      </c>
      <c r="AV24" s="324"/>
      <c r="AW24" s="324"/>
      <c r="AX24" s="324"/>
      <c r="AY24" s="322"/>
      <c r="AZ24" s="325">
        <f t="shared" si="14"/>
        <v>33020</v>
      </c>
      <c r="BA24" s="326"/>
      <c r="BB24" s="327" t="s">
        <v>321</v>
      </c>
      <c r="BC24" s="292"/>
    </row>
    <row r="25" spans="1:57">
      <c r="A25" s="301">
        <v>23</v>
      </c>
      <c r="B25" s="302">
        <v>44742</v>
      </c>
      <c r="C25" s="303">
        <v>3520201950686</v>
      </c>
      <c r="D25" s="304" t="s">
        <v>392</v>
      </c>
      <c r="E25" s="305" t="s">
        <v>91</v>
      </c>
      <c r="F25" s="306">
        <v>51</v>
      </c>
      <c r="G25" s="333" t="s">
        <v>306</v>
      </c>
      <c r="H25" s="308">
        <v>8</v>
      </c>
      <c r="I25" s="304" t="s">
        <v>162</v>
      </c>
      <c r="J25" s="309" t="s">
        <v>92</v>
      </c>
      <c r="K25" s="310">
        <v>44608</v>
      </c>
      <c r="L25" s="311">
        <v>36386</v>
      </c>
      <c r="M25" s="312">
        <f t="shared" ca="1" si="15"/>
        <v>22</v>
      </c>
      <c r="N25" s="313" t="s">
        <v>305</v>
      </c>
      <c r="O25" s="332">
        <v>1082334461002360</v>
      </c>
      <c r="P25" s="315">
        <f>U25-T25</f>
        <v>30</v>
      </c>
      <c r="Q25" s="316"/>
      <c r="R25" s="316"/>
      <c r="S25" s="316"/>
      <c r="T25" s="317"/>
      <c r="U25" s="301">
        <v>30</v>
      </c>
      <c r="V25" s="316"/>
      <c r="W25" s="316"/>
      <c r="X25" s="316"/>
      <c r="Y25" s="318">
        <f>AD25*0.66</f>
        <v>19800</v>
      </c>
      <c r="Z25" s="318">
        <f>AD25*0.25</f>
        <v>7500</v>
      </c>
      <c r="AA25" s="318">
        <f>AD25*0.09</f>
        <v>2700</v>
      </c>
      <c r="AB25" s="319">
        <v>0</v>
      </c>
      <c r="AC25" s="319">
        <v>0</v>
      </c>
      <c r="AD25" s="319">
        <v>30000</v>
      </c>
      <c r="AE25" s="320"/>
      <c r="AF25" s="318"/>
      <c r="AG25" s="319">
        <f>ROUND(SUM(AF25:AF25)+AE25+AD25,0)</f>
        <v>30000</v>
      </c>
      <c r="AH25" s="321"/>
      <c r="AI25" s="302">
        <v>44620</v>
      </c>
      <c r="AJ25" s="320">
        <f t="shared" si="12"/>
        <v>1980</v>
      </c>
      <c r="AK25" s="320">
        <f t="shared" si="4"/>
        <v>1980</v>
      </c>
      <c r="AL25" s="320"/>
      <c r="AM25" s="312">
        <f t="shared" ca="1" si="5"/>
        <v>15840</v>
      </c>
      <c r="AN25" s="319">
        <f t="shared" si="6"/>
        <v>28020</v>
      </c>
      <c r="AO25" s="322"/>
      <c r="AP25" s="322"/>
      <c r="AQ25" s="322">
        <v>3</v>
      </c>
      <c r="AR25" s="323">
        <f t="shared" si="7"/>
        <v>1364</v>
      </c>
      <c r="AS25" s="324">
        <f>AQ25*AR25</f>
        <v>4092</v>
      </c>
      <c r="AT25" s="324"/>
      <c r="AU25" s="324">
        <v>5000</v>
      </c>
      <c r="AV25" s="324"/>
      <c r="AW25" s="324"/>
      <c r="AX25" s="324">
        <v>13200</v>
      </c>
      <c r="AY25" s="322"/>
      <c r="AZ25" s="325">
        <f t="shared" si="14"/>
        <v>42128</v>
      </c>
      <c r="BA25" s="326"/>
      <c r="BB25" s="327" t="s">
        <v>321</v>
      </c>
      <c r="BC25" s="292"/>
      <c r="BE25" s="274">
        <f>3300*5</f>
        <v>16500</v>
      </c>
    </row>
    <row r="26" spans="1:57" ht="14.45" customHeight="1">
      <c r="A26" s="301">
        <v>24</v>
      </c>
      <c r="B26" s="302">
        <v>44742</v>
      </c>
      <c r="C26" s="303" t="s">
        <v>332</v>
      </c>
      <c r="D26" s="304" t="s">
        <v>392</v>
      </c>
      <c r="E26" s="305" t="s">
        <v>91</v>
      </c>
      <c r="F26" s="306">
        <v>53</v>
      </c>
      <c r="G26" s="330" t="s">
        <v>316</v>
      </c>
      <c r="H26" s="308">
        <v>8</v>
      </c>
      <c r="I26" s="304" t="s">
        <v>162</v>
      </c>
      <c r="J26" s="309" t="s">
        <v>92</v>
      </c>
      <c r="K26" s="310">
        <v>44630</v>
      </c>
      <c r="L26" s="311">
        <v>37245</v>
      </c>
      <c r="M26" s="312">
        <f t="shared" ca="1" si="15"/>
        <v>20</v>
      </c>
      <c r="N26" s="313"/>
      <c r="O26" s="334"/>
      <c r="P26" s="315">
        <f t="shared" si="0"/>
        <v>30</v>
      </c>
      <c r="Q26" s="316"/>
      <c r="R26" s="316"/>
      <c r="S26" s="316"/>
      <c r="T26" s="317"/>
      <c r="U26" s="301">
        <v>30</v>
      </c>
      <c r="V26" s="316"/>
      <c r="W26" s="316"/>
      <c r="X26" s="316"/>
      <c r="Y26" s="318">
        <f t="shared" si="8"/>
        <v>19800</v>
      </c>
      <c r="Z26" s="318">
        <f t="shared" si="9"/>
        <v>7500</v>
      </c>
      <c r="AA26" s="318">
        <f t="shared" si="10"/>
        <v>2700</v>
      </c>
      <c r="AB26" s="319">
        <v>0</v>
      </c>
      <c r="AC26" s="319">
        <v>0</v>
      </c>
      <c r="AD26" s="319">
        <v>30000</v>
      </c>
      <c r="AE26" s="320"/>
      <c r="AF26" s="318"/>
      <c r="AG26" s="319">
        <f t="shared" si="11"/>
        <v>30000</v>
      </c>
      <c r="AH26" s="321"/>
      <c r="AI26" s="302">
        <v>44621</v>
      </c>
      <c r="AJ26" s="320">
        <f t="shared" si="12"/>
        <v>1980</v>
      </c>
      <c r="AK26" s="320">
        <f t="shared" si="4"/>
        <v>1980</v>
      </c>
      <c r="AL26" s="320"/>
      <c r="AM26" s="312">
        <f t="shared" ca="1" si="5"/>
        <v>15840</v>
      </c>
      <c r="AN26" s="319">
        <f t="shared" si="6"/>
        <v>28020</v>
      </c>
      <c r="AO26" s="322"/>
      <c r="AP26" s="322"/>
      <c r="AQ26" s="322">
        <v>5</v>
      </c>
      <c r="AR26" s="323">
        <f t="shared" si="7"/>
        <v>1364</v>
      </c>
      <c r="AS26" s="324">
        <f t="shared" si="13"/>
        <v>6820</v>
      </c>
      <c r="AT26" s="324"/>
      <c r="AU26" s="324">
        <v>5000</v>
      </c>
      <c r="AV26" s="324">
        <v>5000</v>
      </c>
      <c r="AW26" s="324">
        <v>200</v>
      </c>
      <c r="AX26" s="324"/>
      <c r="AY26" s="322"/>
      <c r="AZ26" s="325">
        <f t="shared" si="14"/>
        <v>31400</v>
      </c>
      <c r="BA26" s="326"/>
      <c r="BB26" s="327" t="s">
        <v>321</v>
      </c>
      <c r="BC26" s="335" t="s">
        <v>336</v>
      </c>
    </row>
    <row r="27" spans="1:57" ht="14.45" customHeight="1">
      <c r="A27" s="301">
        <v>25</v>
      </c>
      <c r="B27" s="302">
        <v>44742</v>
      </c>
      <c r="C27" s="303" t="s">
        <v>355</v>
      </c>
      <c r="D27" s="304" t="s">
        <v>392</v>
      </c>
      <c r="E27" s="305" t="s">
        <v>91</v>
      </c>
      <c r="F27" s="306">
        <v>54</v>
      </c>
      <c r="G27" s="307" t="s">
        <v>311</v>
      </c>
      <c r="H27" s="308">
        <v>8</v>
      </c>
      <c r="I27" s="304" t="s">
        <v>162</v>
      </c>
      <c r="J27" s="309" t="s">
        <v>92</v>
      </c>
      <c r="K27" s="310">
        <v>44630</v>
      </c>
      <c r="L27" s="311"/>
      <c r="M27" s="312">
        <f t="shared" ca="1" si="15"/>
        <v>122</v>
      </c>
      <c r="N27" s="313" t="s">
        <v>144</v>
      </c>
      <c r="O27" s="332" t="s">
        <v>353</v>
      </c>
      <c r="P27" s="315">
        <f t="shared" si="0"/>
        <v>30</v>
      </c>
      <c r="Q27" s="316"/>
      <c r="R27" s="316"/>
      <c r="S27" s="316"/>
      <c r="T27" s="317"/>
      <c r="U27" s="301">
        <v>30</v>
      </c>
      <c r="V27" s="316"/>
      <c r="W27" s="316"/>
      <c r="X27" s="316"/>
      <c r="Y27" s="318">
        <f t="shared" ref="Y27" si="17">AD27*0.66</f>
        <v>19800</v>
      </c>
      <c r="Z27" s="318">
        <f t="shared" ref="Z27" si="18">AD27*0.25</f>
        <v>7500</v>
      </c>
      <c r="AA27" s="318">
        <f t="shared" ref="AA27" si="19">AD27*0.09</f>
        <v>2700</v>
      </c>
      <c r="AB27" s="319">
        <v>0</v>
      </c>
      <c r="AC27" s="319">
        <v>0</v>
      </c>
      <c r="AD27" s="319">
        <v>30000</v>
      </c>
      <c r="AE27" s="320"/>
      <c r="AF27" s="318"/>
      <c r="AG27" s="319">
        <f t="shared" si="11"/>
        <v>30000</v>
      </c>
      <c r="AH27" s="321"/>
      <c r="AI27" s="302">
        <v>44621</v>
      </c>
      <c r="AJ27" s="320">
        <f t="shared" si="12"/>
        <v>1980</v>
      </c>
      <c r="AK27" s="320">
        <f t="shared" si="4"/>
        <v>1980</v>
      </c>
      <c r="AL27" s="320"/>
      <c r="AM27" s="312">
        <f t="shared" ca="1" si="5"/>
        <v>15840</v>
      </c>
      <c r="AN27" s="319">
        <f t="shared" si="6"/>
        <v>28020</v>
      </c>
      <c r="AO27" s="322"/>
      <c r="AP27" s="322"/>
      <c r="AQ27" s="322">
        <v>6</v>
      </c>
      <c r="AR27" s="323">
        <f t="shared" si="7"/>
        <v>1364</v>
      </c>
      <c r="AS27" s="324">
        <f t="shared" si="13"/>
        <v>8184</v>
      </c>
      <c r="AT27" s="324"/>
      <c r="AU27" s="324">
        <v>5000</v>
      </c>
      <c r="AV27" s="324">
        <v>2500</v>
      </c>
      <c r="AW27" s="324"/>
      <c r="AX27" s="324"/>
      <c r="AY27" s="322"/>
      <c r="AZ27" s="325">
        <f t="shared" si="14"/>
        <v>27336</v>
      </c>
      <c r="BA27" s="326"/>
      <c r="BB27" s="327" t="s">
        <v>320</v>
      </c>
      <c r="BC27" s="292"/>
      <c r="BD27" s="275"/>
      <c r="BE27" s="275"/>
    </row>
    <row r="28" spans="1:57" ht="14.45" customHeight="1">
      <c r="A28" s="301">
        <v>26</v>
      </c>
      <c r="B28" s="302">
        <v>44742</v>
      </c>
      <c r="C28" s="303" t="s">
        <v>356</v>
      </c>
      <c r="D28" s="304" t="s">
        <v>141</v>
      </c>
      <c r="E28" s="305" t="s">
        <v>91</v>
      </c>
      <c r="F28" s="306">
        <v>58</v>
      </c>
      <c r="G28" s="333" t="s">
        <v>324</v>
      </c>
      <c r="H28" s="308"/>
      <c r="I28" s="304"/>
      <c r="J28" s="309" t="s">
        <v>92</v>
      </c>
      <c r="K28" s="310">
        <v>44642</v>
      </c>
      <c r="L28" s="311"/>
      <c r="M28" s="312">
        <f t="shared" ca="1" si="15"/>
        <v>122</v>
      </c>
      <c r="N28" s="313"/>
      <c r="O28" s="332"/>
      <c r="P28" s="315">
        <f t="shared" si="0"/>
        <v>30</v>
      </c>
      <c r="Q28" s="316"/>
      <c r="R28" s="316"/>
      <c r="S28" s="316"/>
      <c r="T28" s="317"/>
      <c r="U28" s="301">
        <v>30</v>
      </c>
      <c r="V28" s="316"/>
      <c r="W28" s="316"/>
      <c r="X28" s="316"/>
      <c r="Y28" s="318">
        <f t="shared" ref="Y28" si="20">AD28*0.66</f>
        <v>19800</v>
      </c>
      <c r="Z28" s="318">
        <f t="shared" ref="Z28" si="21">AD28*0.25</f>
        <v>7500</v>
      </c>
      <c r="AA28" s="318">
        <f t="shared" ref="AA28" si="22">AD28*0.09</f>
        <v>2700</v>
      </c>
      <c r="AB28" s="319">
        <v>0</v>
      </c>
      <c r="AC28" s="319">
        <v>0</v>
      </c>
      <c r="AD28" s="319">
        <v>30000</v>
      </c>
      <c r="AE28" s="320"/>
      <c r="AF28" s="318"/>
      <c r="AG28" s="319">
        <f t="shared" si="11"/>
        <v>30000</v>
      </c>
      <c r="AH28" s="321"/>
      <c r="AI28" s="302">
        <v>44621</v>
      </c>
      <c r="AJ28" s="320">
        <f t="shared" si="12"/>
        <v>1980</v>
      </c>
      <c r="AK28" s="320">
        <f t="shared" si="4"/>
        <v>1980</v>
      </c>
      <c r="AL28" s="320"/>
      <c r="AM28" s="312">
        <f t="shared" ca="1" si="5"/>
        <v>15840</v>
      </c>
      <c r="AN28" s="319">
        <f t="shared" si="6"/>
        <v>28020</v>
      </c>
      <c r="AO28" s="322"/>
      <c r="AP28" s="322"/>
      <c r="AQ28" s="322"/>
      <c r="AR28" s="323">
        <f t="shared" si="7"/>
        <v>1364</v>
      </c>
      <c r="AS28" s="324">
        <f t="shared" si="13"/>
        <v>0</v>
      </c>
      <c r="AT28" s="324"/>
      <c r="AU28" s="324"/>
      <c r="AV28" s="324"/>
      <c r="AW28" s="324"/>
      <c r="AX28" s="324"/>
      <c r="AY28" s="322"/>
      <c r="AZ28" s="325"/>
      <c r="BA28" s="326"/>
      <c r="BB28" s="327" t="s">
        <v>321</v>
      </c>
      <c r="BC28" s="292" t="s">
        <v>391</v>
      </c>
    </row>
    <row r="29" spans="1:57">
      <c r="A29" s="301">
        <v>27</v>
      </c>
      <c r="B29" s="302">
        <v>44742</v>
      </c>
      <c r="C29" s="336" t="s">
        <v>375</v>
      </c>
      <c r="D29" s="304" t="s">
        <v>344</v>
      </c>
      <c r="E29" s="305" t="s">
        <v>91</v>
      </c>
      <c r="F29" s="306">
        <v>65</v>
      </c>
      <c r="G29" s="307" t="s">
        <v>338</v>
      </c>
      <c r="H29" s="308"/>
      <c r="I29" s="304"/>
      <c r="J29" s="309" t="s">
        <v>92</v>
      </c>
      <c r="K29" s="310">
        <v>44635</v>
      </c>
      <c r="L29" s="311"/>
      <c r="M29" s="312"/>
      <c r="N29" s="313" t="s">
        <v>144</v>
      </c>
      <c r="O29" s="334" t="s">
        <v>350</v>
      </c>
      <c r="P29" s="315">
        <f t="shared" si="0"/>
        <v>30</v>
      </c>
      <c r="Q29" s="316"/>
      <c r="R29" s="316"/>
      <c r="S29" s="316"/>
      <c r="T29" s="317"/>
      <c r="U29" s="301">
        <v>30</v>
      </c>
      <c r="V29" s="316"/>
      <c r="W29" s="316"/>
      <c r="X29" s="316"/>
      <c r="Y29" s="318">
        <f t="shared" ref="Y29" si="23">AD29*0.66</f>
        <v>19800</v>
      </c>
      <c r="Z29" s="318">
        <f t="shared" ref="Z29" si="24">AD29*0.25</f>
        <v>7500</v>
      </c>
      <c r="AA29" s="318">
        <f t="shared" ref="AA29" si="25">AD29*0.09</f>
        <v>2700</v>
      </c>
      <c r="AB29" s="319">
        <v>0</v>
      </c>
      <c r="AC29" s="319">
        <v>0</v>
      </c>
      <c r="AD29" s="319">
        <v>30000</v>
      </c>
      <c r="AE29" s="320"/>
      <c r="AF29" s="318"/>
      <c r="AG29" s="319">
        <f t="shared" si="11"/>
        <v>30000</v>
      </c>
      <c r="AH29" s="321"/>
      <c r="AI29" s="302">
        <v>44621</v>
      </c>
      <c r="AJ29" s="320">
        <f t="shared" si="12"/>
        <v>1980</v>
      </c>
      <c r="AK29" s="320">
        <f t="shared" si="4"/>
        <v>1980</v>
      </c>
      <c r="AL29" s="320"/>
      <c r="AM29" s="312">
        <f t="shared" ca="1" si="5"/>
        <v>15840</v>
      </c>
      <c r="AN29" s="319">
        <f t="shared" si="6"/>
        <v>28020</v>
      </c>
      <c r="AO29" s="322"/>
      <c r="AP29" s="322"/>
      <c r="AQ29" s="322"/>
      <c r="AR29" s="323">
        <f t="shared" si="7"/>
        <v>1364</v>
      </c>
      <c r="AS29" s="324">
        <f t="shared" si="13"/>
        <v>0</v>
      </c>
      <c r="AT29" s="324"/>
      <c r="AU29" s="324">
        <v>2500</v>
      </c>
      <c r="AV29" s="324"/>
      <c r="AW29" s="324"/>
      <c r="AX29" s="324"/>
      <c r="AY29" s="322"/>
      <c r="AZ29" s="325">
        <f t="shared" si="14"/>
        <v>30520</v>
      </c>
      <c r="BA29" s="326"/>
      <c r="BB29" s="327" t="s">
        <v>320</v>
      </c>
      <c r="BC29" s="292"/>
    </row>
    <row r="30" spans="1:57" ht="14.45" customHeight="1">
      <c r="A30" s="301">
        <v>28</v>
      </c>
      <c r="B30" s="302">
        <v>44742</v>
      </c>
      <c r="C30" s="303" t="s">
        <v>369</v>
      </c>
      <c r="D30" s="304" t="s">
        <v>141</v>
      </c>
      <c r="E30" s="305" t="s">
        <v>91</v>
      </c>
      <c r="F30" s="306">
        <v>63</v>
      </c>
      <c r="G30" s="307" t="s">
        <v>366</v>
      </c>
      <c r="H30" s="308"/>
      <c r="I30" s="304" t="s">
        <v>162</v>
      </c>
      <c r="J30" s="309" t="s">
        <v>92</v>
      </c>
      <c r="K30" s="310">
        <v>44692</v>
      </c>
      <c r="L30" s="311"/>
      <c r="M30" s="312"/>
      <c r="N30" s="313" t="s">
        <v>144</v>
      </c>
      <c r="O30" s="334" t="s">
        <v>367</v>
      </c>
      <c r="P30" s="315">
        <v>30</v>
      </c>
      <c r="Q30" s="316"/>
      <c r="R30" s="316"/>
      <c r="S30" s="316"/>
      <c r="T30" s="317"/>
      <c r="U30" s="301">
        <v>30</v>
      </c>
      <c r="V30" s="316"/>
      <c r="W30" s="316"/>
      <c r="X30" s="316"/>
      <c r="Y30" s="318">
        <f t="shared" ref="Y30:Y34" si="26">AD30*0.66</f>
        <v>19800</v>
      </c>
      <c r="Z30" s="318">
        <f t="shared" ref="Z30:Z34" si="27">AD30*0.25</f>
        <v>7500</v>
      </c>
      <c r="AA30" s="318">
        <f t="shared" ref="AA30:AA34" si="28">AD30*0.09</f>
        <v>2700</v>
      </c>
      <c r="AB30" s="319"/>
      <c r="AC30" s="319"/>
      <c r="AD30" s="319">
        <v>30000</v>
      </c>
      <c r="AE30" s="320"/>
      <c r="AF30" s="318"/>
      <c r="AG30" s="319">
        <f t="shared" si="11"/>
        <v>30000</v>
      </c>
      <c r="AH30" s="321"/>
      <c r="AI30" s="302">
        <v>44682</v>
      </c>
      <c r="AJ30" s="320">
        <f t="shared" ref="AJ30:AJ34" si="29">IF((B30-K30)&lt;14,0,Y30*10%)</f>
        <v>1980</v>
      </c>
      <c r="AK30" s="320">
        <f t="shared" si="4"/>
        <v>1980</v>
      </c>
      <c r="AL30" s="320"/>
      <c r="AM30" s="312">
        <f t="shared" ca="1" si="5"/>
        <v>7920</v>
      </c>
      <c r="AN30" s="319">
        <f t="shared" si="6"/>
        <v>28020</v>
      </c>
      <c r="AO30" s="322"/>
      <c r="AP30" s="322"/>
      <c r="AQ30" s="322">
        <v>1</v>
      </c>
      <c r="AR30" s="323">
        <f t="shared" si="7"/>
        <v>1364</v>
      </c>
      <c r="AS30" s="324">
        <f t="shared" si="13"/>
        <v>1364</v>
      </c>
      <c r="AT30" s="324"/>
      <c r="AU30" s="324">
        <v>2500</v>
      </c>
      <c r="AV30" s="324"/>
      <c r="AW30" s="324"/>
      <c r="AX30" s="324"/>
      <c r="AY30" s="322"/>
      <c r="AZ30" s="325">
        <f t="shared" si="14"/>
        <v>29156</v>
      </c>
      <c r="BA30" s="326"/>
      <c r="BB30" s="327" t="s">
        <v>320</v>
      </c>
      <c r="BC30" s="292"/>
    </row>
    <row r="31" spans="1:57" ht="14.45" customHeight="1">
      <c r="A31" s="301"/>
      <c r="B31" s="302">
        <v>44742</v>
      </c>
      <c r="C31" s="292" t="s">
        <v>376</v>
      </c>
      <c r="D31" s="304" t="s">
        <v>141</v>
      </c>
      <c r="E31" s="305" t="s">
        <v>91</v>
      </c>
      <c r="F31" s="306">
        <v>64</v>
      </c>
      <c r="G31" s="307" t="s">
        <v>374</v>
      </c>
      <c r="H31" s="308"/>
      <c r="I31" s="304" t="s">
        <v>162</v>
      </c>
      <c r="J31" s="309" t="s">
        <v>92</v>
      </c>
      <c r="K31" s="310">
        <v>44713</v>
      </c>
      <c r="L31" s="311"/>
      <c r="M31" s="312"/>
      <c r="N31" s="313" t="s">
        <v>144</v>
      </c>
      <c r="O31" s="292" t="s">
        <v>377</v>
      </c>
      <c r="P31" s="315">
        <v>30</v>
      </c>
      <c r="Q31" s="316"/>
      <c r="R31" s="316"/>
      <c r="S31" s="316"/>
      <c r="T31" s="317"/>
      <c r="U31" s="301">
        <v>30</v>
      </c>
      <c r="V31" s="316"/>
      <c r="W31" s="316"/>
      <c r="X31" s="316"/>
      <c r="Y31" s="318">
        <f t="shared" si="26"/>
        <v>19800</v>
      </c>
      <c r="Z31" s="318">
        <f t="shared" si="27"/>
        <v>7500</v>
      </c>
      <c r="AA31" s="318">
        <f t="shared" si="28"/>
        <v>2700</v>
      </c>
      <c r="AB31" s="319"/>
      <c r="AC31" s="319"/>
      <c r="AD31" s="319">
        <v>30000</v>
      </c>
      <c r="AE31" s="320"/>
      <c r="AF31" s="318"/>
      <c r="AG31" s="319">
        <f t="shared" si="11"/>
        <v>30000</v>
      </c>
      <c r="AH31" s="321"/>
      <c r="AI31" s="302">
        <v>44713</v>
      </c>
      <c r="AJ31" s="320">
        <f t="shared" si="29"/>
        <v>1980</v>
      </c>
      <c r="AK31" s="320">
        <f t="shared" si="4"/>
        <v>1980</v>
      </c>
      <c r="AL31" s="320"/>
      <c r="AM31" s="312">
        <f t="shared" ca="1" si="5"/>
        <v>3960</v>
      </c>
      <c r="AN31" s="319">
        <f t="shared" si="6"/>
        <v>28020</v>
      </c>
      <c r="AO31" s="322"/>
      <c r="AP31" s="322"/>
      <c r="AQ31" s="322">
        <v>2</v>
      </c>
      <c r="AR31" s="323">
        <f t="shared" si="7"/>
        <v>1364</v>
      </c>
      <c r="AS31" s="324">
        <f t="shared" si="13"/>
        <v>2728</v>
      </c>
      <c r="AT31" s="324"/>
      <c r="AU31" s="324">
        <v>2500</v>
      </c>
      <c r="AV31" s="324"/>
      <c r="AW31" s="324"/>
      <c r="AX31" s="324"/>
      <c r="AY31" s="322"/>
      <c r="AZ31" s="325">
        <f t="shared" si="14"/>
        <v>27792</v>
      </c>
      <c r="BA31" s="326"/>
      <c r="BB31" s="327" t="s">
        <v>320</v>
      </c>
      <c r="BC31" s="292"/>
    </row>
    <row r="32" spans="1:57" ht="14.45" customHeight="1">
      <c r="A32" s="301"/>
      <c r="B32" s="302">
        <v>44742</v>
      </c>
      <c r="C32" s="303"/>
      <c r="D32" s="304" t="s">
        <v>392</v>
      </c>
      <c r="E32" s="305" t="s">
        <v>91</v>
      </c>
      <c r="F32" s="306">
        <v>66</v>
      </c>
      <c r="G32" s="330" t="s">
        <v>396</v>
      </c>
      <c r="H32" s="308"/>
      <c r="I32" s="304" t="s">
        <v>378</v>
      </c>
      <c r="J32" s="309" t="s">
        <v>92</v>
      </c>
      <c r="K32" s="337">
        <v>44715</v>
      </c>
      <c r="L32" s="311"/>
      <c r="M32" s="312"/>
      <c r="N32" s="313"/>
      <c r="O32" s="334"/>
      <c r="P32" s="315"/>
      <c r="Q32" s="316"/>
      <c r="R32" s="316"/>
      <c r="S32" s="316"/>
      <c r="T32" s="317"/>
      <c r="U32" s="301"/>
      <c r="V32" s="316"/>
      <c r="W32" s="316"/>
      <c r="X32" s="316"/>
      <c r="Y32" s="318">
        <f t="shared" si="26"/>
        <v>19800</v>
      </c>
      <c r="Z32" s="318">
        <f t="shared" si="27"/>
        <v>7500</v>
      </c>
      <c r="AA32" s="318">
        <f t="shared" si="28"/>
        <v>2700</v>
      </c>
      <c r="AB32" s="319"/>
      <c r="AC32" s="319"/>
      <c r="AD32" s="319">
        <v>30000</v>
      </c>
      <c r="AE32" s="320"/>
      <c r="AF32" s="318"/>
      <c r="AG32" s="319">
        <f t="shared" si="11"/>
        <v>30000</v>
      </c>
      <c r="AH32" s="321"/>
      <c r="AI32" s="302">
        <v>44713</v>
      </c>
      <c r="AJ32" s="320">
        <f t="shared" si="29"/>
        <v>1980</v>
      </c>
      <c r="AK32" s="320">
        <f t="shared" si="4"/>
        <v>1980</v>
      </c>
      <c r="AL32" s="320"/>
      <c r="AM32" s="312">
        <f t="shared" ca="1" si="5"/>
        <v>3960</v>
      </c>
      <c r="AN32" s="319">
        <f t="shared" si="6"/>
        <v>28020</v>
      </c>
      <c r="AO32" s="322"/>
      <c r="AP32" s="322"/>
      <c r="AQ32" s="322">
        <v>5</v>
      </c>
      <c r="AR32" s="323">
        <f t="shared" si="7"/>
        <v>1364</v>
      </c>
      <c r="AS32" s="324">
        <f t="shared" si="13"/>
        <v>6820</v>
      </c>
      <c r="AT32" s="324"/>
      <c r="AU32" s="324">
        <v>2500</v>
      </c>
      <c r="AV32" s="324"/>
      <c r="AW32" s="324"/>
      <c r="AX32" s="324"/>
      <c r="AY32" s="322"/>
      <c r="AZ32" s="325">
        <f t="shared" si="14"/>
        <v>23700</v>
      </c>
      <c r="BA32" s="326"/>
      <c r="BB32" s="327"/>
      <c r="BC32" s="292"/>
    </row>
    <row r="33" spans="1:55" ht="14.45" customHeight="1">
      <c r="A33" s="301"/>
      <c r="B33" s="302">
        <v>44742</v>
      </c>
      <c r="C33" s="292" t="s">
        <v>379</v>
      </c>
      <c r="D33" s="304" t="s">
        <v>392</v>
      </c>
      <c r="E33" s="305" t="s">
        <v>91</v>
      </c>
      <c r="F33" s="306">
        <v>68</v>
      </c>
      <c r="G33" s="330" t="s">
        <v>397</v>
      </c>
      <c r="H33" s="308"/>
      <c r="I33" s="304" t="s">
        <v>378</v>
      </c>
      <c r="J33" s="309" t="s">
        <v>92</v>
      </c>
      <c r="K33" s="337">
        <v>44720</v>
      </c>
      <c r="L33" s="311"/>
      <c r="M33" s="312"/>
      <c r="N33" s="313"/>
      <c r="O33" s="334"/>
      <c r="P33" s="315"/>
      <c r="Q33" s="316"/>
      <c r="R33" s="316"/>
      <c r="S33" s="316"/>
      <c r="T33" s="317"/>
      <c r="U33" s="301"/>
      <c r="V33" s="316"/>
      <c r="W33" s="316"/>
      <c r="X33" s="316"/>
      <c r="Y33" s="318">
        <f t="shared" si="26"/>
        <v>19800</v>
      </c>
      <c r="Z33" s="318">
        <f t="shared" si="27"/>
        <v>7500</v>
      </c>
      <c r="AA33" s="318">
        <f t="shared" si="28"/>
        <v>2700</v>
      </c>
      <c r="AB33" s="319"/>
      <c r="AC33" s="319"/>
      <c r="AD33" s="319">
        <v>30000</v>
      </c>
      <c r="AE33" s="320"/>
      <c r="AF33" s="318"/>
      <c r="AG33" s="319">
        <f t="shared" si="11"/>
        <v>30000</v>
      </c>
      <c r="AH33" s="321"/>
      <c r="AI33" s="302">
        <v>44713</v>
      </c>
      <c r="AJ33" s="320">
        <f t="shared" si="29"/>
        <v>1980</v>
      </c>
      <c r="AK33" s="320">
        <f t="shared" si="4"/>
        <v>1980</v>
      </c>
      <c r="AL33" s="320"/>
      <c r="AM33" s="312">
        <f t="shared" ca="1" si="5"/>
        <v>3960</v>
      </c>
      <c r="AN33" s="319">
        <f t="shared" si="6"/>
        <v>28020</v>
      </c>
      <c r="AO33" s="322"/>
      <c r="AP33" s="322"/>
      <c r="AQ33" s="322">
        <v>6</v>
      </c>
      <c r="AR33" s="323">
        <f t="shared" si="7"/>
        <v>1364</v>
      </c>
      <c r="AS33" s="324">
        <f t="shared" si="13"/>
        <v>8184</v>
      </c>
      <c r="AT33" s="324"/>
      <c r="AU33" s="324">
        <v>2500</v>
      </c>
      <c r="AV33" s="324"/>
      <c r="AW33" s="324">
        <v>100</v>
      </c>
      <c r="AX33" s="324"/>
      <c r="AY33" s="322"/>
      <c r="AZ33" s="325">
        <f t="shared" si="14"/>
        <v>22436</v>
      </c>
      <c r="BA33" s="326"/>
      <c r="BB33" s="327"/>
      <c r="BC33" s="292"/>
    </row>
    <row r="34" spans="1:55" ht="14.45" customHeight="1">
      <c r="A34" s="301"/>
      <c r="B34" s="302">
        <v>44742</v>
      </c>
      <c r="C34" s="303"/>
      <c r="D34" s="304" t="s">
        <v>395</v>
      </c>
      <c r="E34" s="305" t="s">
        <v>91</v>
      </c>
      <c r="F34" s="306">
        <v>69</v>
      </c>
      <c r="G34" s="330" t="s">
        <v>398</v>
      </c>
      <c r="H34" s="308"/>
      <c r="I34" s="304" t="s">
        <v>380</v>
      </c>
      <c r="J34" s="309" t="s">
        <v>92</v>
      </c>
      <c r="K34" s="337">
        <v>44719</v>
      </c>
      <c r="L34" s="311"/>
      <c r="M34" s="312"/>
      <c r="N34" s="313"/>
      <c r="O34" s="334"/>
      <c r="P34" s="315"/>
      <c r="Q34" s="316"/>
      <c r="R34" s="316"/>
      <c r="S34" s="316"/>
      <c r="T34" s="317"/>
      <c r="U34" s="301"/>
      <c r="V34" s="316"/>
      <c r="W34" s="316"/>
      <c r="X34" s="316"/>
      <c r="Y34" s="318">
        <f t="shared" si="26"/>
        <v>19800</v>
      </c>
      <c r="Z34" s="318">
        <f t="shared" si="27"/>
        <v>7500</v>
      </c>
      <c r="AA34" s="318">
        <f t="shared" si="28"/>
        <v>2700</v>
      </c>
      <c r="AB34" s="319"/>
      <c r="AC34" s="319"/>
      <c r="AD34" s="319">
        <v>30000</v>
      </c>
      <c r="AE34" s="320"/>
      <c r="AF34" s="318"/>
      <c r="AG34" s="319">
        <f t="shared" si="11"/>
        <v>30000</v>
      </c>
      <c r="AH34" s="321"/>
      <c r="AI34" s="302">
        <v>44713</v>
      </c>
      <c r="AJ34" s="320">
        <f t="shared" si="29"/>
        <v>1980</v>
      </c>
      <c r="AK34" s="320">
        <f t="shared" si="4"/>
        <v>1980</v>
      </c>
      <c r="AL34" s="320"/>
      <c r="AM34" s="312">
        <f t="shared" ca="1" si="5"/>
        <v>3960</v>
      </c>
      <c r="AN34" s="319">
        <f t="shared" si="6"/>
        <v>28020</v>
      </c>
      <c r="AO34" s="322"/>
      <c r="AP34" s="322"/>
      <c r="AQ34" s="322"/>
      <c r="AR34" s="323">
        <f t="shared" si="7"/>
        <v>1364</v>
      </c>
      <c r="AS34" s="324">
        <f t="shared" si="13"/>
        <v>0</v>
      </c>
      <c r="AT34" s="324"/>
      <c r="AU34" s="324">
        <v>2500</v>
      </c>
      <c r="AV34" s="324"/>
      <c r="AW34" s="324"/>
      <c r="AX34" s="324"/>
      <c r="AY34" s="322"/>
      <c r="AZ34" s="325">
        <f t="shared" si="14"/>
        <v>30520</v>
      </c>
      <c r="BA34" s="326"/>
      <c r="BB34" s="327"/>
      <c r="BC34" s="292"/>
    </row>
    <row r="35" spans="1:55" ht="14.45" customHeight="1">
      <c r="A35" s="301"/>
      <c r="B35" s="302">
        <v>44742</v>
      </c>
      <c r="C35" s="292" t="s">
        <v>381</v>
      </c>
      <c r="D35" s="304" t="s">
        <v>392</v>
      </c>
      <c r="E35" s="305" t="s">
        <v>91</v>
      </c>
      <c r="F35" s="306">
        <v>70</v>
      </c>
      <c r="G35" s="330" t="s">
        <v>399</v>
      </c>
      <c r="H35" s="308"/>
      <c r="I35" s="292" t="s">
        <v>378</v>
      </c>
      <c r="J35" s="309" t="s">
        <v>92</v>
      </c>
      <c r="K35" s="337">
        <v>44735</v>
      </c>
      <c r="L35" s="311"/>
      <c r="M35" s="312"/>
      <c r="N35" s="313"/>
      <c r="O35" s="334"/>
      <c r="P35" s="315"/>
      <c r="Q35" s="316"/>
      <c r="R35" s="316"/>
      <c r="S35" s="316"/>
      <c r="T35" s="317"/>
      <c r="U35" s="301"/>
      <c r="V35" s="316"/>
      <c r="W35" s="316"/>
      <c r="X35" s="316"/>
      <c r="Y35" s="318">
        <f t="shared" ref="Y35:Y36" si="30">AD35*0.66</f>
        <v>19800</v>
      </c>
      <c r="Z35" s="318">
        <f t="shared" ref="Z35:Z36" si="31">AD35*0.25</f>
        <v>7500</v>
      </c>
      <c r="AA35" s="318">
        <f t="shared" ref="AA35:AA36" si="32">AD35*0.09</f>
        <v>2700</v>
      </c>
      <c r="AB35" s="319"/>
      <c r="AC35" s="319"/>
      <c r="AD35" s="319">
        <v>30000</v>
      </c>
      <c r="AE35" s="320"/>
      <c r="AF35" s="318"/>
      <c r="AG35" s="319">
        <f t="shared" si="11"/>
        <v>30000</v>
      </c>
      <c r="AH35" s="321"/>
      <c r="AI35" s="302">
        <v>44713</v>
      </c>
      <c r="AJ35" s="320">
        <f t="shared" ref="AJ35" si="33">IF((B35-K35)&lt;14,0,Y35*10%)</f>
        <v>0</v>
      </c>
      <c r="AK35" s="320">
        <f t="shared" ref="AK35" si="34">IF((B35-K35)&lt;14,0,Y35*10%)</f>
        <v>0</v>
      </c>
      <c r="AL35" s="320"/>
      <c r="AM35" s="312">
        <f t="shared" ca="1" si="5"/>
        <v>0</v>
      </c>
      <c r="AN35" s="319">
        <f t="shared" si="6"/>
        <v>30000</v>
      </c>
      <c r="AO35" s="322"/>
      <c r="AP35" s="322"/>
      <c r="AQ35" s="322">
        <v>17</v>
      </c>
      <c r="AR35" s="323">
        <f t="shared" si="7"/>
        <v>1364</v>
      </c>
      <c r="AS35" s="324">
        <f t="shared" si="13"/>
        <v>23188</v>
      </c>
      <c r="AT35" s="324"/>
      <c r="AU35" s="324">
        <v>2500</v>
      </c>
      <c r="AV35" s="324"/>
      <c r="AW35" s="324"/>
      <c r="AX35" s="324"/>
      <c r="AY35" s="322"/>
      <c r="AZ35" s="325">
        <f t="shared" si="14"/>
        <v>9312</v>
      </c>
      <c r="BA35" s="326"/>
      <c r="BB35" s="327"/>
      <c r="BC35" s="292"/>
    </row>
    <row r="36" spans="1:55" ht="14.45" customHeight="1">
      <c r="A36" s="301"/>
      <c r="B36" s="302">
        <v>44742</v>
      </c>
      <c r="C36" s="303"/>
      <c r="D36" s="304"/>
      <c r="E36" s="305" t="s">
        <v>91</v>
      </c>
      <c r="F36" s="306">
        <v>71</v>
      </c>
      <c r="G36" s="333" t="s">
        <v>382</v>
      </c>
      <c r="H36" s="308"/>
      <c r="I36" s="292" t="s">
        <v>383</v>
      </c>
      <c r="J36" s="309" t="s">
        <v>92</v>
      </c>
      <c r="K36" s="310"/>
      <c r="L36" s="311"/>
      <c r="M36" s="312"/>
      <c r="N36" s="313"/>
      <c r="O36" s="334"/>
      <c r="P36" s="315"/>
      <c r="Q36" s="316"/>
      <c r="R36" s="316"/>
      <c r="S36" s="316"/>
      <c r="T36" s="317"/>
      <c r="U36" s="301"/>
      <c r="V36" s="316"/>
      <c r="W36" s="316"/>
      <c r="X36" s="316"/>
      <c r="Y36" s="318">
        <f t="shared" si="30"/>
        <v>19800</v>
      </c>
      <c r="Z36" s="318">
        <f t="shared" si="31"/>
        <v>7500</v>
      </c>
      <c r="AA36" s="318">
        <f t="shared" si="32"/>
        <v>2700</v>
      </c>
      <c r="AB36" s="319"/>
      <c r="AC36" s="319"/>
      <c r="AD36" s="319">
        <v>30000</v>
      </c>
      <c r="AE36" s="320"/>
      <c r="AF36" s="318"/>
      <c r="AG36" s="319">
        <f t="shared" si="11"/>
        <v>30000</v>
      </c>
      <c r="AH36" s="321"/>
      <c r="AI36" s="302">
        <v>44713</v>
      </c>
      <c r="AJ36" s="320">
        <f t="shared" ref="AJ36" si="35">IF((B36-K36)&lt;14,0,Y36*10%)</f>
        <v>1980</v>
      </c>
      <c r="AK36" s="320">
        <f>IF((B36-K36)&lt;14,0,Y36*10%)</f>
        <v>1980</v>
      </c>
      <c r="AL36" s="320"/>
      <c r="AM36" s="312">
        <f t="shared" ca="1" si="5"/>
        <v>3960</v>
      </c>
      <c r="AN36" s="319">
        <f t="shared" si="6"/>
        <v>28020</v>
      </c>
      <c r="AO36" s="322"/>
      <c r="AP36" s="322"/>
      <c r="AQ36" s="322"/>
      <c r="AR36" s="323"/>
      <c r="AS36" s="324"/>
      <c r="AT36" s="324"/>
      <c r="AU36" s="324"/>
      <c r="AV36" s="324"/>
      <c r="AW36" s="324"/>
      <c r="AX36" s="324"/>
      <c r="AY36" s="322"/>
      <c r="AZ36" s="325">
        <v>20000</v>
      </c>
      <c r="BA36" s="326"/>
      <c r="BB36" s="327" t="s">
        <v>321</v>
      </c>
      <c r="BC36" s="292"/>
    </row>
    <row r="37" spans="1:55" ht="14.45" customHeight="1">
      <c r="A37" s="301"/>
      <c r="B37" s="302">
        <v>44742</v>
      </c>
      <c r="C37" s="303"/>
      <c r="D37" s="304" t="s">
        <v>140</v>
      </c>
      <c r="E37" s="305" t="s">
        <v>91</v>
      </c>
      <c r="F37" s="306">
        <v>72</v>
      </c>
      <c r="G37" s="330" t="s">
        <v>384</v>
      </c>
      <c r="H37" s="308"/>
      <c r="I37" s="292" t="s">
        <v>383</v>
      </c>
      <c r="J37" s="309" t="s">
        <v>92</v>
      </c>
      <c r="K37" s="337">
        <v>44718</v>
      </c>
      <c r="L37" s="311"/>
      <c r="M37" s="312"/>
      <c r="N37" s="313"/>
      <c r="O37" s="334"/>
      <c r="P37" s="315"/>
      <c r="Q37" s="316"/>
      <c r="R37" s="316"/>
      <c r="S37" s="316"/>
      <c r="T37" s="317"/>
      <c r="U37" s="301"/>
      <c r="V37" s="316"/>
      <c r="W37" s="316"/>
      <c r="X37" s="316"/>
      <c r="Y37" s="318">
        <f t="shared" ref="Y37:Y38" si="36">AD37*0.66</f>
        <v>19800</v>
      </c>
      <c r="Z37" s="318">
        <f t="shared" ref="Z37:Z38" si="37">AD37*0.25</f>
        <v>7500</v>
      </c>
      <c r="AA37" s="318">
        <f t="shared" ref="AA37:AA38" si="38">AD37*0.09</f>
        <v>2700</v>
      </c>
      <c r="AB37" s="319"/>
      <c r="AC37" s="319"/>
      <c r="AD37" s="319">
        <v>30000</v>
      </c>
      <c r="AE37" s="320"/>
      <c r="AF37" s="318"/>
      <c r="AG37" s="319">
        <f t="shared" si="11"/>
        <v>30000</v>
      </c>
      <c r="AH37" s="321"/>
      <c r="AI37" s="302">
        <v>44713</v>
      </c>
      <c r="AJ37" s="320">
        <f t="shared" ref="AJ37:AJ39" si="39">IF((B37-K37)&lt;14,0,Y37*10%)</f>
        <v>1980</v>
      </c>
      <c r="AK37" s="320">
        <f t="shared" ref="AK37:AK39" si="40">IF((B37-K37)&lt;14,0,Y37*10%)</f>
        <v>1980</v>
      </c>
      <c r="AL37" s="320"/>
      <c r="AM37" s="312">
        <f t="shared" ca="1" si="5"/>
        <v>3960</v>
      </c>
      <c r="AN37" s="319">
        <f t="shared" si="6"/>
        <v>28020</v>
      </c>
      <c r="AO37" s="322"/>
      <c r="AP37" s="322"/>
      <c r="AQ37" s="322">
        <v>3</v>
      </c>
      <c r="AR37" s="323">
        <f t="shared" si="7"/>
        <v>1364</v>
      </c>
      <c r="AS37" s="324">
        <f t="shared" si="13"/>
        <v>4092</v>
      </c>
      <c r="AT37" s="324"/>
      <c r="AU37" s="324">
        <v>2500</v>
      </c>
      <c r="AV37" s="324"/>
      <c r="AW37" s="324"/>
      <c r="AX37" s="324"/>
      <c r="AY37" s="322"/>
      <c r="AZ37" s="325">
        <f t="shared" si="14"/>
        <v>26428</v>
      </c>
      <c r="BA37" s="326"/>
      <c r="BB37" s="327"/>
      <c r="BC37" s="292"/>
    </row>
    <row r="38" spans="1:55" ht="14.45" customHeight="1">
      <c r="A38" s="301"/>
      <c r="B38" s="302">
        <v>44742</v>
      </c>
      <c r="C38" s="303"/>
      <c r="D38" s="304" t="s">
        <v>140</v>
      </c>
      <c r="E38" s="305" t="s">
        <v>91</v>
      </c>
      <c r="F38" s="306">
        <v>73</v>
      </c>
      <c r="G38" s="330" t="s">
        <v>385</v>
      </c>
      <c r="H38" s="308"/>
      <c r="I38" s="292" t="s">
        <v>383</v>
      </c>
      <c r="J38" s="309" t="s">
        <v>92</v>
      </c>
      <c r="K38" s="337">
        <v>44740</v>
      </c>
      <c r="L38" s="311"/>
      <c r="M38" s="312"/>
      <c r="N38" s="313"/>
      <c r="O38" s="334"/>
      <c r="P38" s="315"/>
      <c r="Q38" s="316"/>
      <c r="R38" s="316"/>
      <c r="S38" s="316"/>
      <c r="T38" s="317"/>
      <c r="U38" s="301"/>
      <c r="V38" s="316"/>
      <c r="W38" s="316"/>
      <c r="X38" s="316"/>
      <c r="Y38" s="318">
        <f t="shared" si="36"/>
        <v>19800</v>
      </c>
      <c r="Z38" s="318">
        <f t="shared" si="37"/>
        <v>7500</v>
      </c>
      <c r="AA38" s="318">
        <f t="shared" si="38"/>
        <v>2700</v>
      </c>
      <c r="AB38" s="319"/>
      <c r="AC38" s="319"/>
      <c r="AD38" s="319">
        <v>30000</v>
      </c>
      <c r="AE38" s="320"/>
      <c r="AF38" s="318"/>
      <c r="AG38" s="319">
        <f t="shared" si="11"/>
        <v>30000</v>
      </c>
      <c r="AH38" s="321"/>
      <c r="AI38" s="302">
        <v>44713</v>
      </c>
      <c r="AJ38" s="320">
        <f t="shared" si="39"/>
        <v>0</v>
      </c>
      <c r="AK38" s="320">
        <f t="shared" si="40"/>
        <v>0</v>
      </c>
      <c r="AL38" s="320"/>
      <c r="AM38" s="312">
        <f t="shared" ca="1" si="5"/>
        <v>0</v>
      </c>
      <c r="AN38" s="319">
        <f t="shared" si="6"/>
        <v>30000</v>
      </c>
      <c r="AO38" s="322"/>
      <c r="AP38" s="322"/>
      <c r="AQ38" s="322">
        <v>19</v>
      </c>
      <c r="AR38" s="323">
        <f t="shared" si="7"/>
        <v>1364</v>
      </c>
      <c r="AS38" s="324">
        <f t="shared" si="13"/>
        <v>25916</v>
      </c>
      <c r="AT38" s="324"/>
      <c r="AU38" s="324">
        <v>2500</v>
      </c>
      <c r="AV38" s="324"/>
      <c r="AW38" s="324"/>
      <c r="AX38" s="324"/>
      <c r="AY38" s="322"/>
      <c r="AZ38" s="325">
        <f t="shared" si="14"/>
        <v>6584</v>
      </c>
      <c r="BA38" s="326"/>
      <c r="BB38" s="327"/>
      <c r="BC38" s="292"/>
    </row>
    <row r="39" spans="1:55" ht="14.45" customHeight="1">
      <c r="A39" s="301"/>
      <c r="B39" s="302">
        <v>44742</v>
      </c>
      <c r="C39" s="303"/>
      <c r="D39" s="304" t="s">
        <v>141</v>
      </c>
      <c r="E39" s="305" t="s">
        <v>91</v>
      </c>
      <c r="F39" s="306">
        <v>74</v>
      </c>
      <c r="G39" s="330" t="s">
        <v>400</v>
      </c>
      <c r="H39" s="308"/>
      <c r="I39" s="292" t="s">
        <v>162</v>
      </c>
      <c r="J39" s="309" t="s">
        <v>92</v>
      </c>
      <c r="K39" s="337">
        <v>44718</v>
      </c>
      <c r="L39" s="311"/>
      <c r="M39" s="312"/>
      <c r="N39" s="313"/>
      <c r="O39" s="334"/>
      <c r="P39" s="315"/>
      <c r="Q39" s="316"/>
      <c r="R39" s="316"/>
      <c r="S39" s="316"/>
      <c r="T39" s="317"/>
      <c r="U39" s="301"/>
      <c r="V39" s="316"/>
      <c r="W39" s="316"/>
      <c r="X39" s="316"/>
      <c r="Y39" s="318">
        <f t="shared" ref="Y39" si="41">AD39*0.66</f>
        <v>19800</v>
      </c>
      <c r="Z39" s="318">
        <f t="shared" ref="Z39" si="42">AD39*0.25</f>
        <v>7500</v>
      </c>
      <c r="AA39" s="318">
        <f t="shared" ref="AA39" si="43">AD39*0.09</f>
        <v>2700</v>
      </c>
      <c r="AB39" s="319"/>
      <c r="AC39" s="319"/>
      <c r="AD39" s="319">
        <v>30000</v>
      </c>
      <c r="AE39" s="320"/>
      <c r="AF39" s="318"/>
      <c r="AG39" s="319">
        <f t="shared" si="11"/>
        <v>30000</v>
      </c>
      <c r="AH39" s="321"/>
      <c r="AI39" s="302">
        <v>44713</v>
      </c>
      <c r="AJ39" s="320">
        <f t="shared" si="39"/>
        <v>1980</v>
      </c>
      <c r="AK39" s="320">
        <f t="shared" si="40"/>
        <v>1980</v>
      </c>
      <c r="AL39" s="320"/>
      <c r="AM39" s="312">
        <f t="shared" ca="1" si="5"/>
        <v>3960</v>
      </c>
      <c r="AN39" s="319">
        <f t="shared" si="6"/>
        <v>28020</v>
      </c>
      <c r="AO39" s="322"/>
      <c r="AP39" s="322"/>
      <c r="AQ39" s="322">
        <v>5</v>
      </c>
      <c r="AR39" s="323">
        <f t="shared" si="7"/>
        <v>1364</v>
      </c>
      <c r="AS39" s="324">
        <f t="shared" si="13"/>
        <v>6820</v>
      </c>
      <c r="AT39" s="324"/>
      <c r="AU39" s="324">
        <v>2500</v>
      </c>
      <c r="AV39" s="324"/>
      <c r="AW39" s="324"/>
      <c r="AX39" s="324"/>
      <c r="AY39" s="322"/>
      <c r="AZ39" s="325">
        <f t="shared" si="14"/>
        <v>23700</v>
      </c>
      <c r="BA39" s="326"/>
      <c r="BB39" s="327"/>
      <c r="BC39" s="292"/>
    </row>
    <row r="40" spans="1:55" ht="14.45" customHeight="1">
      <c r="A40" s="301">
        <v>29</v>
      </c>
      <c r="B40" s="302">
        <v>44742</v>
      </c>
      <c r="C40" s="303"/>
      <c r="D40" s="304" t="s">
        <v>141</v>
      </c>
      <c r="E40" s="305" t="s">
        <v>91</v>
      </c>
      <c r="F40" s="306">
        <v>56</v>
      </c>
      <c r="G40" s="330" t="s">
        <v>325</v>
      </c>
      <c r="H40" s="308"/>
      <c r="I40" s="304"/>
      <c r="J40" s="309" t="s">
        <v>92</v>
      </c>
      <c r="K40" s="310">
        <v>44637</v>
      </c>
      <c r="L40" s="311">
        <v>37458</v>
      </c>
      <c r="M40" s="312">
        <f ca="1">DATEDIF(L40,TODAY(),"y")</f>
        <v>19</v>
      </c>
      <c r="N40" s="313"/>
      <c r="O40" s="332"/>
      <c r="P40" s="315">
        <f>U40-T40</f>
        <v>30</v>
      </c>
      <c r="Q40" s="316"/>
      <c r="R40" s="316"/>
      <c r="S40" s="316"/>
      <c r="T40" s="317"/>
      <c r="U40" s="301">
        <v>30</v>
      </c>
      <c r="V40" s="316"/>
      <c r="W40" s="316"/>
      <c r="X40" s="316"/>
      <c r="Y40" s="318">
        <f>AD40*0.66</f>
        <v>0</v>
      </c>
      <c r="Z40" s="318">
        <f>AD40*0.25</f>
        <v>0</v>
      </c>
      <c r="AA40" s="318">
        <f>AD40*0.09</f>
        <v>0</v>
      </c>
      <c r="AB40" s="319"/>
      <c r="AC40" s="319">
        <v>4</v>
      </c>
      <c r="AD40" s="319">
        <f>AB40*AC40</f>
        <v>0</v>
      </c>
      <c r="AE40" s="320"/>
      <c r="AF40" s="318"/>
      <c r="AG40" s="319">
        <f>ROUND(SUM(AF40:AF40)+AE40+AD40,0)</f>
        <v>0</v>
      </c>
      <c r="AH40" s="321"/>
      <c r="AI40" s="302"/>
      <c r="AJ40" s="320"/>
      <c r="AK40" s="320"/>
      <c r="AL40" s="320"/>
      <c r="AM40" s="312"/>
      <c r="AN40" s="319">
        <f t="shared" si="6"/>
        <v>0</v>
      </c>
      <c r="AO40" s="322"/>
      <c r="AP40" s="322"/>
      <c r="AQ40" s="322"/>
      <c r="AR40" s="323">
        <f t="shared" si="7"/>
        <v>0</v>
      </c>
      <c r="AS40" s="324">
        <f>AQ40*AR40</f>
        <v>0</v>
      </c>
      <c r="AT40" s="324"/>
      <c r="AU40" s="324"/>
      <c r="AV40" s="324"/>
      <c r="AW40" s="324"/>
      <c r="AX40" s="324"/>
      <c r="AY40" s="322"/>
      <c r="AZ40" s="325">
        <f t="shared" si="14"/>
        <v>0</v>
      </c>
      <c r="BA40" s="326"/>
      <c r="BB40" s="327" t="s">
        <v>321</v>
      </c>
      <c r="BC40" s="292"/>
    </row>
    <row r="41" spans="1:55">
      <c r="A41" s="301">
        <v>30</v>
      </c>
      <c r="B41" s="302">
        <v>44742</v>
      </c>
      <c r="C41" s="338">
        <v>4220125175941</v>
      </c>
      <c r="D41" s="339" t="s">
        <v>141</v>
      </c>
      <c r="E41" s="340" t="s">
        <v>91</v>
      </c>
      <c r="F41" s="341">
        <v>20</v>
      </c>
      <c r="G41" s="307" t="s">
        <v>247</v>
      </c>
      <c r="H41" s="342" t="s">
        <v>334</v>
      </c>
      <c r="I41" s="339" t="s">
        <v>162</v>
      </c>
      <c r="J41" s="343" t="s">
        <v>92</v>
      </c>
      <c r="K41" s="344">
        <v>43891</v>
      </c>
      <c r="L41" s="344">
        <v>35082</v>
      </c>
      <c r="M41" s="345">
        <f ca="1">DATEDIF(L41,TODAY(),"y")</f>
        <v>26</v>
      </c>
      <c r="N41" s="346" t="s">
        <v>144</v>
      </c>
      <c r="O41" s="347" t="s">
        <v>191</v>
      </c>
      <c r="P41" s="348">
        <f t="shared" ref="P41:P44" si="44">U41-T41</f>
        <v>30</v>
      </c>
      <c r="Q41" s="349"/>
      <c r="R41" s="349"/>
      <c r="S41" s="349"/>
      <c r="T41" s="350"/>
      <c r="U41" s="349">
        <v>30</v>
      </c>
      <c r="V41" s="349"/>
      <c r="W41" s="349"/>
      <c r="X41" s="349"/>
      <c r="Y41" s="351">
        <f t="shared" ref="Y41:Y44" si="45">AD41*0.66</f>
        <v>6507.6</v>
      </c>
      <c r="Z41" s="351">
        <f t="shared" ref="Z41:Z44" si="46">AD41*0.25</f>
        <v>2465</v>
      </c>
      <c r="AA41" s="351">
        <f t="shared" ref="AA41:AA44" si="47">AD41*0.09</f>
        <v>887.4</v>
      </c>
      <c r="AB41" s="352">
        <v>98.6</v>
      </c>
      <c r="AC41" s="353">
        <v>100</v>
      </c>
      <c r="AD41" s="328">
        <f>AB41*AC41</f>
        <v>9860</v>
      </c>
      <c r="AE41" s="354"/>
      <c r="AF41" s="351"/>
      <c r="AG41" s="328">
        <f t="shared" si="11"/>
        <v>9860</v>
      </c>
      <c r="AH41" s="355"/>
      <c r="AI41" s="356"/>
      <c r="AJ41" s="354"/>
      <c r="AK41" s="354"/>
      <c r="AL41" s="354"/>
      <c r="AM41" s="345"/>
      <c r="AN41" s="328">
        <f t="shared" si="6"/>
        <v>9860</v>
      </c>
      <c r="AO41" s="354">
        <f>ROUND(AH41/5,0)</f>
        <v>0</v>
      </c>
      <c r="AP41" s="354">
        <f>VLOOKUP(C41,'Tax Calculations'!$D$5:$AS$50,42,FALSE)</f>
        <v>0</v>
      </c>
      <c r="AQ41" s="354"/>
      <c r="AR41" s="354"/>
      <c r="AS41" s="354"/>
      <c r="AT41" s="354"/>
      <c r="AU41" s="354">
        <v>2500</v>
      </c>
      <c r="AV41" s="354"/>
      <c r="AW41" s="354"/>
      <c r="AX41" s="354"/>
      <c r="AY41" s="354"/>
      <c r="AZ41" s="328">
        <f>AN41+AU41</f>
        <v>12360</v>
      </c>
      <c r="BA41" s="357"/>
      <c r="BB41" s="358" t="s">
        <v>320</v>
      </c>
      <c r="BC41" s="292"/>
    </row>
    <row r="42" spans="1:55">
      <c r="A42" s="301">
        <v>31</v>
      </c>
      <c r="B42" s="302">
        <v>44742</v>
      </c>
      <c r="C42" s="338" t="s">
        <v>164</v>
      </c>
      <c r="D42" s="339" t="s">
        <v>141</v>
      </c>
      <c r="E42" s="340" t="s">
        <v>91</v>
      </c>
      <c r="F42" s="341">
        <v>11</v>
      </c>
      <c r="G42" s="307" t="s">
        <v>253</v>
      </c>
      <c r="H42" s="342" t="s">
        <v>334</v>
      </c>
      <c r="I42" s="339" t="s">
        <v>162</v>
      </c>
      <c r="J42" s="343" t="s">
        <v>92</v>
      </c>
      <c r="K42" s="344">
        <v>44013</v>
      </c>
      <c r="L42" s="344">
        <v>36449</v>
      </c>
      <c r="M42" s="345">
        <f ca="1">DATEDIF(L42,TODAY(),"y")</f>
        <v>22</v>
      </c>
      <c r="N42" s="346" t="s">
        <v>144</v>
      </c>
      <c r="O42" s="359" t="s">
        <v>333</v>
      </c>
      <c r="P42" s="348">
        <f t="shared" si="44"/>
        <v>30</v>
      </c>
      <c r="Q42" s="349"/>
      <c r="R42" s="349"/>
      <c r="S42" s="349"/>
      <c r="T42" s="350"/>
      <c r="U42" s="349">
        <v>30</v>
      </c>
      <c r="V42" s="349"/>
      <c r="W42" s="349"/>
      <c r="X42" s="349"/>
      <c r="Y42" s="351">
        <f t="shared" si="45"/>
        <v>4649.7</v>
      </c>
      <c r="Z42" s="351">
        <f t="shared" si="46"/>
        <v>1761.25</v>
      </c>
      <c r="AA42" s="351">
        <f t="shared" si="47"/>
        <v>634.04999999999995</v>
      </c>
      <c r="AB42" s="352">
        <v>70.45</v>
      </c>
      <c r="AC42" s="353">
        <v>100</v>
      </c>
      <c r="AD42" s="328">
        <f t="shared" ref="AD42:AD44" si="48">AB42*AC42</f>
        <v>7045</v>
      </c>
      <c r="AE42" s="354"/>
      <c r="AF42" s="351"/>
      <c r="AG42" s="328">
        <f t="shared" si="11"/>
        <v>7045</v>
      </c>
      <c r="AH42" s="355"/>
      <c r="AI42" s="356"/>
      <c r="AJ42" s="354"/>
      <c r="AK42" s="354"/>
      <c r="AL42" s="354"/>
      <c r="AM42" s="345"/>
      <c r="AN42" s="328">
        <f t="shared" si="6"/>
        <v>7045</v>
      </c>
      <c r="AO42" s="354">
        <f>ROUND(AH42/5,0)</f>
        <v>0</v>
      </c>
      <c r="AP42" s="354">
        <f>VLOOKUP(C42,'Tax Calculations'!$D$5:$AS$38,42,FALSE)</f>
        <v>0</v>
      </c>
      <c r="AQ42" s="354"/>
      <c r="AR42" s="354"/>
      <c r="AS42" s="354"/>
      <c r="AT42" s="354"/>
      <c r="AU42" s="354">
        <v>2500</v>
      </c>
      <c r="AV42" s="354"/>
      <c r="AW42" s="354"/>
      <c r="AX42" s="354"/>
      <c r="AY42" s="354"/>
      <c r="AZ42" s="328">
        <f t="shared" ref="AZ42:AZ47" si="49">AN42+AU42</f>
        <v>9545</v>
      </c>
      <c r="BA42" s="357"/>
      <c r="BB42" s="358" t="s">
        <v>320</v>
      </c>
      <c r="BC42" s="292"/>
    </row>
    <row r="43" spans="1:55">
      <c r="A43" s="301">
        <v>32</v>
      </c>
      <c r="B43" s="302">
        <v>44742</v>
      </c>
      <c r="C43" s="338">
        <v>3520248653137</v>
      </c>
      <c r="D43" s="339" t="s">
        <v>142</v>
      </c>
      <c r="E43" s="340" t="s">
        <v>91</v>
      </c>
      <c r="F43" s="341">
        <v>9</v>
      </c>
      <c r="G43" s="307" t="s">
        <v>254</v>
      </c>
      <c r="H43" s="342" t="s">
        <v>334</v>
      </c>
      <c r="I43" s="339" t="s">
        <v>165</v>
      </c>
      <c r="J43" s="343" t="s">
        <v>92</v>
      </c>
      <c r="K43" s="344">
        <v>44012</v>
      </c>
      <c r="L43" s="344">
        <v>35842</v>
      </c>
      <c r="M43" s="345">
        <f ca="1">DATEDIF(L43,TODAY(),"y")</f>
        <v>24</v>
      </c>
      <c r="N43" s="346" t="s">
        <v>144</v>
      </c>
      <c r="O43" s="347" t="s">
        <v>192</v>
      </c>
      <c r="P43" s="348">
        <f t="shared" si="44"/>
        <v>30</v>
      </c>
      <c r="Q43" s="349"/>
      <c r="R43" s="349"/>
      <c r="S43" s="349"/>
      <c r="T43" s="350"/>
      <c r="U43" s="349">
        <v>30</v>
      </c>
      <c r="V43" s="349"/>
      <c r="W43" s="349"/>
      <c r="X43" s="349"/>
      <c r="Y43" s="351">
        <f t="shared" si="45"/>
        <v>149.16</v>
      </c>
      <c r="Z43" s="351">
        <f t="shared" si="46"/>
        <v>56.499999999999993</v>
      </c>
      <c r="AA43" s="351">
        <f t="shared" si="47"/>
        <v>20.339999999999996</v>
      </c>
      <c r="AB43" s="352">
        <v>2.2599999999999998</v>
      </c>
      <c r="AC43" s="353">
        <v>100</v>
      </c>
      <c r="AD43" s="328">
        <f t="shared" si="48"/>
        <v>225.99999999999997</v>
      </c>
      <c r="AE43" s="354"/>
      <c r="AF43" s="351"/>
      <c r="AG43" s="328">
        <f t="shared" si="11"/>
        <v>226</v>
      </c>
      <c r="AH43" s="355"/>
      <c r="AI43" s="356"/>
      <c r="AJ43" s="354"/>
      <c r="AK43" s="354"/>
      <c r="AL43" s="354"/>
      <c r="AM43" s="345"/>
      <c r="AN43" s="328">
        <f t="shared" si="6"/>
        <v>226</v>
      </c>
      <c r="AO43" s="354">
        <f>ROUND(AH43/5,0)</f>
        <v>0</v>
      </c>
      <c r="AP43" s="354">
        <f>VLOOKUP(C43,'Tax Calculations'!$D$5:$AS$38,42,FALSE)</f>
        <v>0</v>
      </c>
      <c r="AQ43" s="354"/>
      <c r="AR43" s="354"/>
      <c r="AS43" s="354"/>
      <c r="AT43" s="354"/>
      <c r="AU43" s="354">
        <v>2500</v>
      </c>
      <c r="AV43" s="354"/>
      <c r="AW43" s="354"/>
      <c r="AX43" s="354"/>
      <c r="AY43" s="354"/>
      <c r="AZ43" s="328">
        <f t="shared" si="49"/>
        <v>2726</v>
      </c>
      <c r="BA43" s="357"/>
      <c r="BB43" s="358" t="s">
        <v>320</v>
      </c>
      <c r="BC43" s="292"/>
    </row>
    <row r="44" spans="1:55">
      <c r="A44" s="301">
        <v>33</v>
      </c>
      <c r="B44" s="302">
        <v>44742</v>
      </c>
      <c r="C44" s="338" t="s">
        <v>166</v>
      </c>
      <c r="D44" s="339" t="s">
        <v>141</v>
      </c>
      <c r="E44" s="340" t="s">
        <v>91</v>
      </c>
      <c r="F44" s="341">
        <v>10</v>
      </c>
      <c r="G44" s="307" t="s">
        <v>255</v>
      </c>
      <c r="H44" s="342" t="s">
        <v>334</v>
      </c>
      <c r="I44" s="339" t="s">
        <v>162</v>
      </c>
      <c r="J44" s="343" t="s">
        <v>92</v>
      </c>
      <c r="K44" s="344">
        <v>44166</v>
      </c>
      <c r="L44" s="344">
        <v>35881</v>
      </c>
      <c r="M44" s="345">
        <f ca="1">DATEDIF(L44,TODAY(),"y")</f>
        <v>24</v>
      </c>
      <c r="N44" s="346" t="s">
        <v>144</v>
      </c>
      <c r="O44" s="347" t="s">
        <v>193</v>
      </c>
      <c r="P44" s="348">
        <f t="shared" si="44"/>
        <v>30</v>
      </c>
      <c r="Q44" s="349"/>
      <c r="R44" s="349"/>
      <c r="S44" s="349"/>
      <c r="T44" s="350"/>
      <c r="U44" s="349">
        <v>30</v>
      </c>
      <c r="V44" s="349"/>
      <c r="W44" s="349"/>
      <c r="X44" s="349"/>
      <c r="Y44" s="351">
        <f t="shared" si="45"/>
        <v>7311.4800000000005</v>
      </c>
      <c r="Z44" s="351">
        <f t="shared" si="46"/>
        <v>2769.5</v>
      </c>
      <c r="AA44" s="351">
        <f t="shared" si="47"/>
        <v>997.02</v>
      </c>
      <c r="AB44" s="352">
        <v>110.78</v>
      </c>
      <c r="AC44" s="353">
        <v>100</v>
      </c>
      <c r="AD44" s="328">
        <f t="shared" si="48"/>
        <v>11078</v>
      </c>
      <c r="AE44" s="354"/>
      <c r="AF44" s="351"/>
      <c r="AG44" s="328">
        <f t="shared" si="11"/>
        <v>11078</v>
      </c>
      <c r="AH44" s="355"/>
      <c r="AI44" s="356"/>
      <c r="AJ44" s="354"/>
      <c r="AK44" s="354"/>
      <c r="AL44" s="354"/>
      <c r="AM44" s="345"/>
      <c r="AN44" s="328">
        <f t="shared" si="6"/>
        <v>11078</v>
      </c>
      <c r="AO44" s="354">
        <f>ROUND(AH44/5,0)</f>
        <v>0</v>
      </c>
      <c r="AP44" s="354">
        <f>VLOOKUP(C44,'Tax Calculations'!$D$5:$AS$38,42,FALSE)</f>
        <v>0</v>
      </c>
      <c r="AQ44" s="354"/>
      <c r="AR44" s="354"/>
      <c r="AS44" s="354"/>
      <c r="AT44" s="354"/>
      <c r="AU44" s="354">
        <v>2500</v>
      </c>
      <c r="AV44" s="354"/>
      <c r="AW44" s="354"/>
      <c r="AX44" s="354"/>
      <c r="AY44" s="354"/>
      <c r="AZ44" s="328">
        <f t="shared" si="49"/>
        <v>13578</v>
      </c>
      <c r="BA44" s="357"/>
      <c r="BB44" s="358" t="s">
        <v>320</v>
      </c>
      <c r="BC44" s="292"/>
    </row>
    <row r="45" spans="1:55" ht="14.45" customHeight="1">
      <c r="A45" s="301">
        <v>34</v>
      </c>
      <c r="B45" s="302">
        <v>44742</v>
      </c>
      <c r="C45" s="338" t="s">
        <v>317</v>
      </c>
      <c r="D45" s="339" t="s">
        <v>141</v>
      </c>
      <c r="E45" s="340" t="s">
        <v>91</v>
      </c>
      <c r="F45" s="341">
        <v>52</v>
      </c>
      <c r="G45" s="307" t="s">
        <v>313</v>
      </c>
      <c r="H45" s="342" t="s">
        <v>334</v>
      </c>
      <c r="I45" s="339" t="s">
        <v>162</v>
      </c>
      <c r="J45" s="343" t="s">
        <v>92</v>
      </c>
      <c r="K45" s="344">
        <v>44621</v>
      </c>
      <c r="L45" s="344"/>
      <c r="M45" s="345"/>
      <c r="N45" s="346" t="s">
        <v>144</v>
      </c>
      <c r="O45" s="360" t="s">
        <v>352</v>
      </c>
      <c r="P45" s="348">
        <f>U45-T45</f>
        <v>30</v>
      </c>
      <c r="Q45" s="349"/>
      <c r="R45" s="349"/>
      <c r="S45" s="349"/>
      <c r="T45" s="350"/>
      <c r="U45" s="349">
        <v>30</v>
      </c>
      <c r="V45" s="349"/>
      <c r="W45" s="349"/>
      <c r="X45" s="349"/>
      <c r="Y45" s="351">
        <f t="shared" ref="Y45" si="50">AD45*0.66</f>
        <v>4600.8599999999997</v>
      </c>
      <c r="Z45" s="351">
        <f t="shared" ref="Z45" si="51">AD45*0.25</f>
        <v>1742.7499999999998</v>
      </c>
      <c r="AA45" s="351">
        <f t="shared" ref="AA45" si="52">AD45*0.09</f>
        <v>627.38999999999987</v>
      </c>
      <c r="AB45" s="352">
        <v>69.709999999999994</v>
      </c>
      <c r="AC45" s="353">
        <v>100</v>
      </c>
      <c r="AD45" s="328">
        <f>AB45*AC45</f>
        <v>6970.9999999999991</v>
      </c>
      <c r="AE45" s="354"/>
      <c r="AF45" s="351"/>
      <c r="AG45" s="328">
        <f>ROUND(SUM(AF45:AF45)+AE45+AD45,0)</f>
        <v>6971</v>
      </c>
      <c r="AH45" s="355"/>
      <c r="AI45" s="356"/>
      <c r="AJ45" s="354"/>
      <c r="AK45" s="354"/>
      <c r="AL45" s="354"/>
      <c r="AM45" s="345"/>
      <c r="AN45" s="328">
        <f t="shared" si="6"/>
        <v>6971</v>
      </c>
      <c r="AO45" s="354"/>
      <c r="AP45" s="354"/>
      <c r="AQ45" s="354"/>
      <c r="AR45" s="361"/>
      <c r="AS45" s="361"/>
      <c r="AT45" s="361"/>
      <c r="AU45" s="354">
        <v>2500</v>
      </c>
      <c r="AV45" s="354"/>
      <c r="AW45" s="354"/>
      <c r="AX45" s="354"/>
      <c r="AY45" s="354"/>
      <c r="AZ45" s="328">
        <f t="shared" si="49"/>
        <v>9471</v>
      </c>
      <c r="BA45" s="357"/>
      <c r="BB45" s="358" t="s">
        <v>320</v>
      </c>
      <c r="BC45" s="292"/>
    </row>
    <row r="46" spans="1:55" ht="14.45" customHeight="1">
      <c r="A46" s="301">
        <v>35</v>
      </c>
      <c r="B46" s="302">
        <v>44742</v>
      </c>
      <c r="C46" s="362" t="s">
        <v>360</v>
      </c>
      <c r="D46" s="339" t="s">
        <v>141</v>
      </c>
      <c r="E46" s="340" t="s">
        <v>91</v>
      </c>
      <c r="F46" s="341">
        <v>59</v>
      </c>
      <c r="G46" s="307" t="s">
        <v>343</v>
      </c>
      <c r="H46" s="342" t="s">
        <v>334</v>
      </c>
      <c r="I46" s="339" t="s">
        <v>162</v>
      </c>
      <c r="J46" s="343" t="s">
        <v>345</v>
      </c>
      <c r="K46" s="344">
        <v>44652</v>
      </c>
      <c r="L46" s="344"/>
      <c r="M46" s="345"/>
      <c r="N46" s="346" t="s">
        <v>144</v>
      </c>
      <c r="O46" s="360" t="s">
        <v>354</v>
      </c>
      <c r="P46" s="348">
        <f>U46-T46</f>
        <v>30</v>
      </c>
      <c r="Q46" s="349"/>
      <c r="R46" s="349"/>
      <c r="S46" s="349"/>
      <c r="T46" s="350"/>
      <c r="U46" s="349">
        <v>30</v>
      </c>
      <c r="V46" s="349"/>
      <c r="W46" s="349"/>
      <c r="X46" s="349"/>
      <c r="Y46" s="351">
        <f t="shared" ref="Y46" si="53">AD46*0.66</f>
        <v>3569.28</v>
      </c>
      <c r="Z46" s="351">
        <f t="shared" ref="Z46" si="54">AD46*0.25</f>
        <v>1352</v>
      </c>
      <c r="AA46" s="351">
        <f t="shared" ref="AA46" si="55">AD46*0.09</f>
        <v>486.71999999999997</v>
      </c>
      <c r="AB46" s="363">
        <v>54.08</v>
      </c>
      <c r="AC46" s="353">
        <v>100</v>
      </c>
      <c r="AD46" s="328">
        <f>AB46*AC46</f>
        <v>5408</v>
      </c>
      <c r="AE46" s="354"/>
      <c r="AF46" s="351"/>
      <c r="AG46" s="328">
        <f>ROUND(SUM(AF46:AF46)+AE46+AD46,0)</f>
        <v>5408</v>
      </c>
      <c r="AH46" s="355"/>
      <c r="AI46" s="356"/>
      <c r="AJ46" s="354"/>
      <c r="AK46" s="354"/>
      <c r="AL46" s="354"/>
      <c r="AM46" s="345"/>
      <c r="AN46" s="328">
        <f t="shared" si="6"/>
        <v>5408</v>
      </c>
      <c r="AO46" s="354"/>
      <c r="AP46" s="354"/>
      <c r="AQ46" s="354"/>
      <c r="AR46" s="361"/>
      <c r="AS46" s="361"/>
      <c r="AT46" s="361"/>
      <c r="AU46" s="354">
        <v>2500</v>
      </c>
      <c r="AV46" s="354"/>
      <c r="AW46" s="354"/>
      <c r="AX46" s="354"/>
      <c r="AY46" s="354"/>
      <c r="AZ46" s="328">
        <f t="shared" si="49"/>
        <v>7908</v>
      </c>
      <c r="BA46" s="357"/>
      <c r="BB46" s="358" t="s">
        <v>320</v>
      </c>
      <c r="BC46" s="292"/>
    </row>
    <row r="47" spans="1:55">
      <c r="A47" s="301">
        <v>36</v>
      </c>
      <c r="B47" s="302">
        <v>44742</v>
      </c>
      <c r="C47" s="338" t="s">
        <v>351</v>
      </c>
      <c r="D47" s="339" t="s">
        <v>141</v>
      </c>
      <c r="E47" s="340" t="s">
        <v>91</v>
      </c>
      <c r="F47" s="341">
        <v>57</v>
      </c>
      <c r="G47" s="307" t="s">
        <v>326</v>
      </c>
      <c r="H47" s="342" t="s">
        <v>334</v>
      </c>
      <c r="I47" s="339" t="s">
        <v>328</v>
      </c>
      <c r="J47" s="343" t="s">
        <v>92</v>
      </c>
      <c r="K47" s="344">
        <v>44648</v>
      </c>
      <c r="L47" s="344"/>
      <c r="M47" s="345">
        <f ca="1">DATEDIF(L47,TODAY(),"y")</f>
        <v>122</v>
      </c>
      <c r="N47" s="346" t="s">
        <v>144</v>
      </c>
      <c r="O47" s="360" t="s">
        <v>342</v>
      </c>
      <c r="P47" s="348">
        <f>U47-T47</f>
        <v>30</v>
      </c>
      <c r="Q47" s="349"/>
      <c r="R47" s="349"/>
      <c r="S47" s="349"/>
      <c r="T47" s="350"/>
      <c r="U47" s="349">
        <v>30</v>
      </c>
      <c r="V47" s="349"/>
      <c r="W47" s="349"/>
      <c r="X47" s="349"/>
      <c r="Y47" s="351">
        <f>AD47*0.66</f>
        <v>7755</v>
      </c>
      <c r="Z47" s="351">
        <f>AD47*0.25</f>
        <v>2937.5</v>
      </c>
      <c r="AA47" s="351">
        <f>AD47*0.09</f>
        <v>1057.5</v>
      </c>
      <c r="AB47" s="363">
        <v>117.5</v>
      </c>
      <c r="AC47" s="353">
        <v>100</v>
      </c>
      <c r="AD47" s="328">
        <f>AB47*AC47</f>
        <v>11750</v>
      </c>
      <c r="AE47" s="354"/>
      <c r="AF47" s="351"/>
      <c r="AG47" s="328">
        <f>ROUND(SUM(AF47:AF47)+AE47+AD47,0)</f>
        <v>11750</v>
      </c>
      <c r="AH47" s="355"/>
      <c r="AI47" s="356"/>
      <c r="AJ47" s="354"/>
      <c r="AK47" s="354"/>
      <c r="AL47" s="354"/>
      <c r="AM47" s="345"/>
      <c r="AN47" s="328">
        <f t="shared" si="6"/>
        <v>11750</v>
      </c>
      <c r="AO47" s="354"/>
      <c r="AP47" s="354"/>
      <c r="AQ47" s="354"/>
      <c r="AR47" s="361"/>
      <c r="AS47" s="361">
        <f>AQ47*AR47</f>
        <v>0</v>
      </c>
      <c r="AT47" s="361"/>
      <c r="AU47" s="354">
        <v>2500</v>
      </c>
      <c r="AV47" s="354"/>
      <c r="AW47" s="354"/>
      <c r="AX47" s="354"/>
      <c r="AY47" s="354"/>
      <c r="AZ47" s="328">
        <f t="shared" si="49"/>
        <v>14250</v>
      </c>
      <c r="BA47" s="357"/>
      <c r="BB47" s="358" t="s">
        <v>320</v>
      </c>
      <c r="BC47" s="292"/>
    </row>
    <row r="48" spans="1:55" ht="14.45" customHeight="1">
      <c r="A48" s="364"/>
      <c r="B48" s="365" t="s">
        <v>93</v>
      </c>
      <c r="C48" s="365" t="s">
        <v>93</v>
      </c>
      <c r="D48" s="366"/>
      <c r="E48" s="365" t="s">
        <v>93</v>
      </c>
      <c r="F48" s="367" t="s">
        <v>93</v>
      </c>
      <c r="G48" s="368" t="s">
        <v>19</v>
      </c>
      <c r="H48" s="369" t="s">
        <v>93</v>
      </c>
      <c r="I48" s="365" t="s">
        <v>93</v>
      </c>
      <c r="J48" s="365" t="s">
        <v>93</v>
      </c>
      <c r="K48" s="365" t="s">
        <v>93</v>
      </c>
      <c r="L48" s="365" t="s">
        <v>93</v>
      </c>
      <c r="M48" s="365" t="s">
        <v>93</v>
      </c>
      <c r="N48" s="365" t="s">
        <v>93</v>
      </c>
      <c r="O48" s="365"/>
      <c r="P48" s="366"/>
      <c r="Q48" s="366">
        <f>SUBTOTAL(9,Q5:Q44)</f>
        <v>0</v>
      </c>
      <c r="R48" s="366">
        <f>SUBTOTAL(9,R5:R44)</f>
        <v>0</v>
      </c>
      <c r="S48" s="366">
        <f>SUBTOTAL(9,S5:S44)</f>
        <v>0</v>
      </c>
      <c r="T48" s="366">
        <f>SUBTOTAL(9,T5:T44)</f>
        <v>0</v>
      </c>
      <c r="U48" s="366"/>
      <c r="V48" s="366">
        <f t="shared" ref="V48:AA48" si="56">SUBTOTAL(9,V5:V44)</f>
        <v>0</v>
      </c>
      <c r="W48" s="366">
        <f t="shared" si="56"/>
        <v>0</v>
      </c>
      <c r="X48" s="366">
        <f t="shared" si="56"/>
        <v>0</v>
      </c>
      <c r="Y48" s="366">
        <f t="shared" si="56"/>
        <v>711617.94</v>
      </c>
      <c r="Z48" s="366">
        <f t="shared" si="56"/>
        <v>269552.25</v>
      </c>
      <c r="AA48" s="366">
        <f t="shared" si="56"/>
        <v>97038.81</v>
      </c>
      <c r="AB48" s="366"/>
      <c r="AC48" s="366"/>
      <c r="AD48" s="366">
        <f>SUBTOTAL(9,AD5:AD44)</f>
        <v>1078209</v>
      </c>
      <c r="AE48" s="366">
        <f>SUBTOTAL(9,AE5:AE20)</f>
        <v>0</v>
      </c>
      <c r="AF48" s="366">
        <f>SUBTOTAL(9,AF5:AF20)</f>
        <v>0</v>
      </c>
      <c r="AG48" s="366">
        <f>SUBTOTAL(9,AG5:AG44)</f>
        <v>1078209</v>
      </c>
      <c r="AH48" s="366">
        <f>SUBTOTAL(9,AH5:AH20)</f>
        <v>0</v>
      </c>
      <c r="AI48" s="366"/>
      <c r="AJ48" s="366">
        <f>SUBTOTAL(9,AJ3:AJ47)</f>
        <v>69300</v>
      </c>
      <c r="AK48" s="366">
        <f>SUBTOTAL(9,AK3:AK47)</f>
        <v>69300</v>
      </c>
      <c r="AL48" s="366"/>
      <c r="AM48" s="366">
        <f ca="1">SUBTOTAL(9,AM5:AM44)</f>
        <v>554400</v>
      </c>
      <c r="AN48" s="366">
        <f>SUBTOTAL(9,AN5:AN44)</f>
        <v>1012869</v>
      </c>
      <c r="AO48" s="366">
        <f>SUBTOTAL(9,AO5:AO20)</f>
        <v>0</v>
      </c>
      <c r="AP48" s="366">
        <f>SUBTOTAL(9,AP5:AP44)</f>
        <v>0</v>
      </c>
      <c r="AQ48" s="366"/>
      <c r="AR48" s="366"/>
      <c r="AS48" s="366">
        <f>SUM(AS3:AS47)</f>
        <v>144584</v>
      </c>
      <c r="AT48" s="366">
        <f>SUM(AT3:AT47)</f>
        <v>8000</v>
      </c>
      <c r="AU48" s="366">
        <f>SUBTOTAL(9,AU3:AU47)</f>
        <v>155000</v>
      </c>
      <c r="AV48" s="366">
        <f>SUM(AV3:AV47)</f>
        <v>7500</v>
      </c>
      <c r="AW48" s="366">
        <f>SUM(AW3:AW47)</f>
        <v>1600</v>
      </c>
      <c r="AX48" s="366"/>
      <c r="AY48" s="366">
        <f>SUM(AY3:AY47)</f>
        <v>0</v>
      </c>
      <c r="AZ48" s="366">
        <f>SUBTOTAL(9,AZ3:AZ47)</f>
        <v>1097714</v>
      </c>
      <c r="BA48" s="366"/>
      <c r="BB48" s="366"/>
      <c r="BC48" s="292"/>
    </row>
    <row r="49" spans="6:53">
      <c r="I49" s="285"/>
      <c r="AZ49" s="278"/>
    </row>
    <row r="50" spans="6:53">
      <c r="F50" s="279"/>
      <c r="G50" s="274" t="s">
        <v>298</v>
      </c>
      <c r="I50" s="285"/>
      <c r="AJ50" s="280"/>
      <c r="AK50" s="281"/>
      <c r="AL50" s="281"/>
      <c r="AM50" s="281"/>
      <c r="AZ50" s="280"/>
    </row>
    <row r="51" spans="6:53">
      <c r="F51" s="282"/>
      <c r="G51" s="274" t="s">
        <v>329</v>
      </c>
    </row>
    <row r="52" spans="6:53">
      <c r="F52" s="286"/>
      <c r="G52" s="274" t="s">
        <v>318</v>
      </c>
      <c r="BA52" s="280"/>
    </row>
    <row r="53" spans="6:53">
      <c r="F53" s="276" t="s">
        <v>322</v>
      </c>
      <c r="G53" s="274" t="s">
        <v>319</v>
      </c>
      <c r="AY53" s="283"/>
      <c r="BA53" s="280"/>
    </row>
    <row r="54" spans="6:53">
      <c r="F54" s="287"/>
      <c r="G54" s="284" t="s">
        <v>363</v>
      </c>
      <c r="AY54" s="283"/>
    </row>
    <row r="55" spans="6:53">
      <c r="AY55" s="283"/>
    </row>
    <row r="56" spans="6:53">
      <c r="AY56" s="273"/>
    </row>
    <row r="59" spans="6:53">
      <c r="AZ59" s="280"/>
    </row>
  </sheetData>
  <autoFilter ref="A2:BB47"/>
  <mergeCells count="5">
    <mergeCell ref="A1:O1"/>
    <mergeCell ref="AH1:BA1"/>
    <mergeCell ref="P1:U1"/>
    <mergeCell ref="AE1:AF1"/>
    <mergeCell ref="V1:X1"/>
  </mergeCells>
  <conditionalFormatting sqref="L2">
    <cfRule type="duplicateValues" dxfId="72" priority="108"/>
  </conditionalFormatting>
  <conditionalFormatting sqref="L2">
    <cfRule type="duplicateValues" dxfId="71" priority="106"/>
    <cfRule type="duplicateValues" dxfId="70" priority="107"/>
  </conditionalFormatting>
  <conditionalFormatting sqref="F48">
    <cfRule type="duplicateValues" dxfId="69" priority="110"/>
  </conditionalFormatting>
  <conditionalFormatting sqref="F48">
    <cfRule type="duplicateValues" dxfId="68" priority="111"/>
  </conditionalFormatting>
  <conditionalFormatting sqref="F48">
    <cfRule type="duplicateValues" dxfId="67" priority="112"/>
  </conditionalFormatting>
  <conditionalFormatting sqref="F48">
    <cfRule type="duplicateValues" dxfId="66" priority="113"/>
  </conditionalFormatting>
  <conditionalFormatting sqref="F3:F4">
    <cfRule type="duplicateValues" dxfId="65" priority="39"/>
  </conditionalFormatting>
  <conditionalFormatting sqref="F3:F4">
    <cfRule type="duplicateValues" dxfId="64" priority="40"/>
  </conditionalFormatting>
  <conditionalFormatting sqref="F23">
    <cfRule type="duplicateValues" dxfId="63" priority="30"/>
  </conditionalFormatting>
  <conditionalFormatting sqref="F23">
    <cfRule type="duplicateValues" dxfId="62" priority="31"/>
  </conditionalFormatting>
  <conditionalFormatting sqref="C48:C1048576 C40:C45 C1:C29">
    <cfRule type="duplicateValues" dxfId="61" priority="21"/>
  </conditionalFormatting>
  <conditionalFormatting sqref="F41:F45 F48 F24:F27 F5:F22">
    <cfRule type="duplicateValues" dxfId="60" priority="13979"/>
  </conditionalFormatting>
  <conditionalFormatting sqref="F41:F45 F24:F27 F5:F22">
    <cfRule type="duplicateValues" dxfId="59" priority="13984"/>
  </conditionalFormatting>
  <conditionalFormatting sqref="C46:C47">
    <cfRule type="duplicateValues" dxfId="58" priority="18"/>
  </conditionalFormatting>
  <conditionalFormatting sqref="F46:F47">
    <cfRule type="duplicateValues" dxfId="57" priority="19"/>
  </conditionalFormatting>
  <conditionalFormatting sqref="F46:F47">
    <cfRule type="duplicateValues" dxfId="56" priority="20"/>
  </conditionalFormatting>
  <conditionalFormatting sqref="C40:C1048576 C1:C29">
    <cfRule type="duplicateValues" dxfId="55" priority="16"/>
    <cfRule type="duplicateValues" dxfId="54" priority="17"/>
  </conditionalFormatting>
  <conditionalFormatting sqref="G1:G1048576">
    <cfRule type="duplicateValues" dxfId="53" priority="2"/>
  </conditionalFormatting>
  <conditionalFormatting sqref="F1:F1048576">
    <cfRule type="duplicateValues" dxfId="52" priority="1"/>
  </conditionalFormatting>
  <conditionalFormatting sqref="C30:C39">
    <cfRule type="duplicateValues" dxfId="51" priority="14214"/>
  </conditionalFormatting>
  <conditionalFormatting sqref="C30:C39">
    <cfRule type="duplicateValues" dxfId="50" priority="14215"/>
    <cfRule type="duplicateValues" dxfId="49" priority="14216"/>
  </conditionalFormatting>
  <conditionalFormatting sqref="F28:F40">
    <cfRule type="duplicateValues" dxfId="48" priority="14217"/>
  </conditionalFormatting>
  <dataValidations count="1">
    <dataValidation type="date" allowBlank="1" showInputMessage="1" showErrorMessage="1" errorTitle="format error" error="Please enter the date in the following format_x000a_YYYY-MM-DD" sqref="K3:K47">
      <formula1>29221</formula1>
      <formula2>46022</formula2>
    </dataValidation>
  </dataValidations>
  <pageMargins left="0.7" right="0.7" top="0.75" bottom="0.75" header="0.3" footer="0.3"/>
  <pageSetup orientation="portrait" r:id="rId1"/>
  <ignoredErrors>
    <ignoredError sqref="O16 O15 O17:O18 O9:O11 O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V40"/>
  <sheetViews>
    <sheetView showGridLines="0" topLeftCell="B3" workbookViewId="0">
      <pane xSplit="4" ySplit="2" topLeftCell="Q5" activePane="bottomRight" state="frozen"/>
      <selection pane="topRight"/>
      <selection pane="bottomLeft"/>
      <selection pane="bottomRight" activeCell="D14" sqref="D14"/>
    </sheetView>
  </sheetViews>
  <sheetFormatPr defaultColWidth="9.140625" defaultRowHeight="15"/>
  <cols>
    <col min="2" max="2" width="6.140625" customWidth="1"/>
    <col min="3" max="4" width="18.140625" customWidth="1"/>
    <col min="5" max="5" width="13.7109375" customWidth="1"/>
    <col min="6" max="6" width="7.28515625" bestFit="1" customWidth="1"/>
    <col min="7" max="7" width="10.42578125" bestFit="1" customWidth="1"/>
    <col min="8" max="8" width="10.7109375" customWidth="1"/>
    <col min="9" max="9" width="13.7109375" customWidth="1"/>
    <col min="10" max="10" width="13.42578125" customWidth="1"/>
    <col min="11" max="11" width="13.7109375" style="108" customWidth="1"/>
    <col min="12" max="23" width="10.42578125" bestFit="1" customWidth="1"/>
    <col min="24" max="24" width="12.42578125" style="108" customWidth="1"/>
    <col min="25" max="25" width="8.85546875" style="108" bestFit="1" customWidth="1"/>
    <col min="26" max="26" width="10.42578125" style="108" bestFit="1" customWidth="1"/>
    <col min="27" max="27" width="13.42578125" style="108" bestFit="1" customWidth="1"/>
    <col min="28" max="28" width="11.28515625" style="108" bestFit="1" customWidth="1"/>
    <col min="29" max="30" width="12.85546875" style="108" bestFit="1" customWidth="1"/>
    <col min="31" max="31" width="11.28515625" style="108" bestFit="1" customWidth="1"/>
    <col min="32" max="32" width="12" style="108" bestFit="1" customWidth="1"/>
    <col min="33" max="33" width="10" style="108" bestFit="1" customWidth="1"/>
    <col min="34" max="34" width="9" style="108" bestFit="1" customWidth="1"/>
    <col min="35" max="35" width="8.5703125" style="108" bestFit="1" customWidth="1"/>
    <col min="36" max="36" width="9.140625" style="108" bestFit="1" customWidth="1"/>
    <col min="37" max="37" width="10.42578125" style="108" bestFit="1" customWidth="1"/>
    <col min="38" max="38" width="9" customWidth="1"/>
    <col min="39" max="39" width="10.42578125" customWidth="1"/>
    <col min="40" max="40" width="7.42578125" customWidth="1"/>
    <col min="41" max="41" width="10.28515625" customWidth="1"/>
    <col min="42" max="42" width="6.28515625" customWidth="1"/>
    <col min="43" max="43" width="8.85546875" customWidth="1"/>
    <col min="44" max="44" width="9.140625" customWidth="1"/>
    <col min="45" max="45" width="9.140625" style="108" customWidth="1"/>
    <col min="46" max="46" width="11.28515625" style="108" bestFit="1" customWidth="1"/>
    <col min="48" max="48" width="11.28515625" bestFit="1" customWidth="1"/>
  </cols>
  <sheetData>
    <row r="3" spans="2:48">
      <c r="B3" s="109"/>
      <c r="C3" s="109"/>
      <c r="D3" s="109"/>
      <c r="E3" s="109"/>
      <c r="F3" s="134"/>
      <c r="G3" s="134"/>
      <c r="H3" s="375" t="s">
        <v>0</v>
      </c>
      <c r="I3" s="376"/>
      <c r="J3" s="376"/>
      <c r="K3" s="377"/>
      <c r="L3" s="378" t="s">
        <v>1</v>
      </c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80"/>
      <c r="Y3" s="378" t="s">
        <v>70</v>
      </c>
      <c r="Z3" s="379"/>
      <c r="AA3" s="379"/>
      <c r="AB3" s="379"/>
      <c r="AC3" s="379"/>
      <c r="AD3" s="379"/>
      <c r="AE3" s="379"/>
      <c r="AF3" s="379"/>
      <c r="AG3" s="379"/>
      <c r="AH3" s="379"/>
      <c r="AI3" s="379"/>
      <c r="AJ3" s="379"/>
      <c r="AK3" s="380"/>
      <c r="AL3" s="381" t="s">
        <v>2</v>
      </c>
      <c r="AM3" s="381"/>
      <c r="AN3" s="381"/>
      <c r="AO3" s="381"/>
      <c r="AP3" s="381"/>
      <c r="AQ3" s="381"/>
      <c r="AR3" s="381"/>
      <c r="AS3" s="381"/>
      <c r="AT3" s="108">
        <v>6</v>
      </c>
    </row>
    <row r="4" spans="2:48" ht="33.75">
      <c r="B4" s="110" t="s">
        <v>3</v>
      </c>
      <c r="C4" s="110" t="s">
        <v>4</v>
      </c>
      <c r="D4" s="130" t="s">
        <v>69</v>
      </c>
      <c r="E4" s="110" t="s">
        <v>5</v>
      </c>
      <c r="F4" s="110" t="s">
        <v>68</v>
      </c>
      <c r="G4" s="112" t="s">
        <v>94</v>
      </c>
      <c r="H4" s="112" t="s">
        <v>133</v>
      </c>
      <c r="I4" s="112" t="s">
        <v>132</v>
      </c>
      <c r="J4" s="112" t="s">
        <v>134</v>
      </c>
      <c r="K4" s="116" t="s">
        <v>6</v>
      </c>
      <c r="L4" s="119" t="s">
        <v>7</v>
      </c>
      <c r="M4" s="119" t="s">
        <v>8</v>
      </c>
      <c r="N4" s="119" t="s">
        <v>9</v>
      </c>
      <c r="O4" s="120" t="s">
        <v>10</v>
      </c>
      <c r="P4" s="121" t="s">
        <v>11</v>
      </c>
      <c r="Q4" s="121" t="s">
        <v>12</v>
      </c>
      <c r="R4" s="121" t="s">
        <v>13</v>
      </c>
      <c r="S4" s="121" t="s">
        <v>14</v>
      </c>
      <c r="T4" s="121" t="s">
        <v>15</v>
      </c>
      <c r="U4" s="122" t="s">
        <v>16</v>
      </c>
      <c r="V4" s="122" t="s">
        <v>17</v>
      </c>
      <c r="W4" s="122" t="s">
        <v>18</v>
      </c>
      <c r="X4" s="123" t="s">
        <v>19</v>
      </c>
      <c r="Y4" s="123" t="s">
        <v>7</v>
      </c>
      <c r="Z4" s="123" t="s">
        <v>59</v>
      </c>
      <c r="AA4" s="123" t="s">
        <v>60</v>
      </c>
      <c r="AB4" s="123" t="s">
        <v>61</v>
      </c>
      <c r="AC4" s="123" t="s">
        <v>62</v>
      </c>
      <c r="AD4" s="123" t="s">
        <v>63</v>
      </c>
      <c r="AE4" s="123" t="s">
        <v>64</v>
      </c>
      <c r="AF4" s="123" t="s">
        <v>65</v>
      </c>
      <c r="AG4" s="123" t="s">
        <v>66</v>
      </c>
      <c r="AH4" s="123" t="s">
        <v>67</v>
      </c>
      <c r="AI4" s="123" t="s">
        <v>17</v>
      </c>
      <c r="AJ4" s="123" t="s">
        <v>18</v>
      </c>
      <c r="AK4" s="123" t="s">
        <v>19</v>
      </c>
      <c r="AL4" s="122" t="s">
        <v>20</v>
      </c>
      <c r="AM4" s="122" t="s">
        <v>21</v>
      </c>
      <c r="AN4" s="122" t="s">
        <v>22</v>
      </c>
      <c r="AO4" s="125" t="s">
        <v>23</v>
      </c>
      <c r="AP4" s="122" t="s">
        <v>24</v>
      </c>
      <c r="AQ4" s="122" t="s">
        <v>25</v>
      </c>
      <c r="AR4" s="122" t="s">
        <v>26</v>
      </c>
      <c r="AS4" s="123" t="s">
        <v>27</v>
      </c>
    </row>
    <row r="5" spans="2:48">
      <c r="B5" s="111">
        <v>1</v>
      </c>
      <c r="C5" s="131" t="s">
        <v>105</v>
      </c>
      <c r="D5" s="132" t="s">
        <v>143</v>
      </c>
      <c r="E5" s="113" t="s">
        <v>138</v>
      </c>
      <c r="F5" s="113" t="s">
        <v>91</v>
      </c>
      <c r="G5" s="138">
        <v>43990</v>
      </c>
      <c r="H5" s="114" t="e">
        <f>VLOOKUP($D5,'Salary Sheet'!$C$3:$AD$61,23,FALSE)</f>
        <v>#N/A</v>
      </c>
      <c r="I5" s="114" t="e">
        <f>VLOOKUP($D5,'Salary Sheet'!$C$3:$AD$61,24,FALSE)</f>
        <v>#N/A</v>
      </c>
      <c r="J5" s="114" t="e">
        <f>VLOOKUP($D5,'Salary Sheet'!$C$3:$AD$61,25,FALSE)</f>
        <v>#N/A</v>
      </c>
      <c r="K5" s="114" t="e">
        <f t="shared" ref="K5:K38" si="0">SUM(H5:J5)</f>
        <v>#N/A</v>
      </c>
      <c r="L5" s="118">
        <v>55000</v>
      </c>
      <c r="M5" s="118">
        <f t="shared" ref="M5:W7" si="1">L5</f>
        <v>55000</v>
      </c>
      <c r="N5" s="118">
        <f t="shared" si="1"/>
        <v>55000</v>
      </c>
      <c r="O5" s="118">
        <f t="shared" si="1"/>
        <v>55000</v>
      </c>
      <c r="P5" s="118">
        <f t="shared" si="1"/>
        <v>55000</v>
      </c>
      <c r="Q5" s="118">
        <f t="shared" si="1"/>
        <v>55000</v>
      </c>
      <c r="R5" s="118" t="e">
        <f>VLOOKUP(D5,'Salary Sheet'!$C$3:$AG$61,28,FALSE)</f>
        <v>#N/A</v>
      </c>
      <c r="S5" s="118" t="e">
        <f t="shared" si="1"/>
        <v>#N/A</v>
      </c>
      <c r="T5" s="118" t="e">
        <f t="shared" si="1"/>
        <v>#N/A</v>
      </c>
      <c r="U5" s="118" t="e">
        <f t="shared" si="1"/>
        <v>#N/A</v>
      </c>
      <c r="V5" s="118" t="e">
        <f t="shared" si="1"/>
        <v>#N/A</v>
      </c>
      <c r="W5" s="118" t="e">
        <f t="shared" si="1"/>
        <v>#N/A</v>
      </c>
      <c r="X5" s="137" t="e">
        <f>SUM(L5:W5)/110*100</f>
        <v>#N/A</v>
      </c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>
        <f>SUM(Y5:AJ5)</f>
        <v>0</v>
      </c>
      <c r="AL5" s="126" t="e">
        <f>VLOOKUP(X5,'Tax Calc'!$B$5:$I$16,1,TRUE)</f>
        <v>#N/A</v>
      </c>
      <c r="AM5" s="126" t="e">
        <f>VLOOKUP(X5,'Tax Calc'!$B$5:$I$16,2,TRUE)</f>
        <v>#N/A</v>
      </c>
      <c r="AN5" s="127" t="e">
        <f t="shared" ref="AN5:AN38" si="2">AND(X5&gt;=AL5,X5&lt;=AM5)</f>
        <v>#N/A</v>
      </c>
      <c r="AO5" s="126" t="e">
        <f t="shared" ref="AO5:AO38" si="3">IF(AN5,X5-AL5+1,0)</f>
        <v>#N/A</v>
      </c>
      <c r="AP5" s="128" t="e">
        <f>VLOOKUP(X5,'Tax Calc'!$B$5:$F$16,5,TRUE)</f>
        <v>#N/A</v>
      </c>
      <c r="AQ5" s="126" t="e">
        <f t="shared" ref="AQ5:AQ15" si="4">IF(AN5,AO5*AP5)</f>
        <v>#N/A</v>
      </c>
      <c r="AR5" s="126" t="e">
        <f>VLOOKUP(X5,'Tax Calc'!$B$5:$H$16,7,TRUE)</f>
        <v>#N/A</v>
      </c>
      <c r="AS5" s="126" t="e">
        <f t="shared" ref="AS5:AS38" si="5">(AQ5+AR5-AK5)/$AT$3</f>
        <v>#N/A</v>
      </c>
      <c r="AT5" s="129"/>
      <c r="AU5" s="135"/>
      <c r="AV5" s="136"/>
    </row>
    <row r="6" spans="2:48">
      <c r="B6" s="111">
        <v>2</v>
      </c>
      <c r="C6" s="131" t="s">
        <v>244</v>
      </c>
      <c r="D6" s="132" t="s">
        <v>297</v>
      </c>
      <c r="E6" s="113" t="s">
        <v>140</v>
      </c>
      <c r="F6" s="113" t="s">
        <v>91</v>
      </c>
      <c r="G6" s="138"/>
      <c r="H6" s="114">
        <f>VLOOKUP($D6,'Salary Sheet'!$C$3:$AD$61,23,FALSE)</f>
        <v>19800</v>
      </c>
      <c r="I6" s="114">
        <f>VLOOKUP($D6,'Salary Sheet'!$C$3:$AD$61,24,FALSE)</f>
        <v>7500</v>
      </c>
      <c r="J6" s="114">
        <f>VLOOKUP($D6,'Salary Sheet'!$C$3:$AD$61,25,FALSE)</f>
        <v>2700</v>
      </c>
      <c r="K6" s="114">
        <f t="shared" si="0"/>
        <v>30000</v>
      </c>
      <c r="L6" s="118"/>
      <c r="M6" s="118"/>
      <c r="N6" s="118"/>
      <c r="O6" s="118"/>
      <c r="P6" s="118"/>
      <c r="Q6" s="118"/>
      <c r="R6" s="118"/>
      <c r="S6" s="118">
        <v>80000</v>
      </c>
      <c r="T6" s="118">
        <v>80000</v>
      </c>
      <c r="U6" s="118">
        <v>80000</v>
      </c>
      <c r="V6" s="118">
        <v>80000</v>
      </c>
      <c r="W6" s="118">
        <v>80000</v>
      </c>
      <c r="X6" s="137">
        <f>SUM(L6:W6)/110*100</f>
        <v>363636.36363636365</v>
      </c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6">
        <f>VLOOKUP(X6,'Tax Calc'!$B$5:$I$16,1,TRUE)</f>
        <v>0</v>
      </c>
      <c r="AM6" s="126">
        <f>VLOOKUP(X6,'Tax Calc'!$B$5:$I$16,2,TRUE)</f>
        <v>600000</v>
      </c>
      <c r="AN6" s="127" t="b">
        <f t="shared" ref="AN6" si="6">AND(X6&gt;=AL6,X6&lt;=AM6)</f>
        <v>1</v>
      </c>
      <c r="AO6" s="126">
        <f t="shared" ref="AO6" si="7">IF(AN6,X6-AL6+1,0)</f>
        <v>363637.36363636365</v>
      </c>
      <c r="AP6" s="128">
        <f>VLOOKUP(X6,'Tax Calc'!$B$5:$F$16,5,TRUE)</f>
        <v>0</v>
      </c>
      <c r="AQ6" s="126">
        <f t="shared" ref="AQ6" si="8">IF(AN6,AO6*AP6)</f>
        <v>0</v>
      </c>
      <c r="AR6" s="126">
        <f>VLOOKUP(X6,'Tax Calc'!$B$5:$H$16,7,TRUE)</f>
        <v>0</v>
      </c>
      <c r="AS6" s="126">
        <f t="shared" ref="AS6" si="9">(AQ6+AR6-AK6)/$AT$3</f>
        <v>0</v>
      </c>
      <c r="AT6" s="129"/>
      <c r="AU6" s="135"/>
      <c r="AV6" s="136"/>
    </row>
    <row r="7" spans="2:48">
      <c r="B7" s="111">
        <v>3</v>
      </c>
      <c r="C7" s="131" t="s">
        <v>295</v>
      </c>
      <c r="D7" s="132" t="s">
        <v>296</v>
      </c>
      <c r="E7" s="113" t="s">
        <v>141</v>
      </c>
      <c r="F7" s="113" t="s">
        <v>91</v>
      </c>
      <c r="G7" s="138"/>
      <c r="H7" s="114">
        <f>VLOOKUP($D7,'Salary Sheet'!$C$3:$AD$61,23,FALSE)</f>
        <v>19800</v>
      </c>
      <c r="I7" s="114">
        <f>VLOOKUP($D7,'Salary Sheet'!$C$3:$AD$61,24,FALSE)</f>
        <v>7500</v>
      </c>
      <c r="J7" s="114">
        <f>VLOOKUP($D7,'Salary Sheet'!$C$3:$AD$61,25,FALSE)</f>
        <v>2700</v>
      </c>
      <c r="K7" s="114">
        <f t="shared" si="0"/>
        <v>30000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/>
      <c r="S7" s="118">
        <v>80000</v>
      </c>
      <c r="T7" s="118">
        <f t="shared" si="1"/>
        <v>80000</v>
      </c>
      <c r="U7" s="118">
        <f t="shared" si="1"/>
        <v>80000</v>
      </c>
      <c r="V7" s="118">
        <f t="shared" si="1"/>
        <v>80000</v>
      </c>
      <c r="W7" s="118">
        <f t="shared" si="1"/>
        <v>80000</v>
      </c>
      <c r="X7" s="137">
        <f>SUM(L7:W7)/110*100</f>
        <v>363636.36363636365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6">
        <f>VLOOKUP(X7,'Tax Calc'!$B$5:$I$16,1,TRUE)</f>
        <v>0</v>
      </c>
      <c r="AM7" s="126">
        <f>VLOOKUP(X7,'Tax Calc'!$B$5:$I$16,2,TRUE)</f>
        <v>600000</v>
      </c>
      <c r="AN7" s="127" t="b">
        <f t="shared" ref="AN7" si="10">AND(X7&gt;=AL7,X7&lt;=AM7)</f>
        <v>1</v>
      </c>
      <c r="AO7" s="126">
        <f t="shared" ref="AO7" si="11">IF(AN7,X7-AL7+1,0)</f>
        <v>363637.36363636365</v>
      </c>
      <c r="AP7" s="128">
        <f>VLOOKUP(X7,'Tax Calc'!$B$5:$F$16,5,TRUE)</f>
        <v>0</v>
      </c>
      <c r="AQ7" s="126">
        <f t="shared" ref="AQ7" si="12">IF(AN7,AO7*AP7)</f>
        <v>0</v>
      </c>
      <c r="AR7" s="126">
        <f>VLOOKUP(X7,'Tax Calc'!$B$5:$H$16,7,TRUE)</f>
        <v>0</v>
      </c>
      <c r="AS7" s="126">
        <f t="shared" ref="AS7" si="13">(AQ7+AR7-AK7)/$AT$3</f>
        <v>0</v>
      </c>
      <c r="AT7" s="129"/>
      <c r="AU7" s="135"/>
      <c r="AV7" s="136"/>
    </row>
    <row r="8" spans="2:48">
      <c r="B8" s="111">
        <v>4</v>
      </c>
      <c r="C8" s="131" t="s">
        <v>99</v>
      </c>
      <c r="D8" s="132" t="s">
        <v>233</v>
      </c>
      <c r="E8" s="113" t="s">
        <v>139</v>
      </c>
      <c r="F8" s="113" t="s">
        <v>91</v>
      </c>
      <c r="G8" s="138">
        <v>44288</v>
      </c>
      <c r="H8" s="114">
        <f>VLOOKUP($D8,'Salary Sheet'!$C$3:$AD$61,23,FALSE)</f>
        <v>19800</v>
      </c>
      <c r="I8" s="114">
        <f>VLOOKUP($D8,'Salary Sheet'!$C$3:$AD$61,24,FALSE)</f>
        <v>7500</v>
      </c>
      <c r="J8" s="114">
        <f>VLOOKUP($D8,'Salary Sheet'!$C$3:$AD$61,25,FALSE)</f>
        <v>2700</v>
      </c>
      <c r="K8" s="117">
        <f t="shared" si="0"/>
        <v>30000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  <c r="R8" s="118"/>
      <c r="S8" s="118">
        <v>80000</v>
      </c>
      <c r="T8" s="118">
        <f t="shared" ref="T8:W8" si="14">S8</f>
        <v>80000</v>
      </c>
      <c r="U8" s="118">
        <f t="shared" si="14"/>
        <v>80000</v>
      </c>
      <c r="V8" s="118">
        <f t="shared" si="14"/>
        <v>80000</v>
      </c>
      <c r="W8" s="118">
        <f t="shared" si="14"/>
        <v>80000</v>
      </c>
      <c r="X8" s="137">
        <f t="shared" ref="X8:X38" si="15">SUM(L8:W8)/110*100</f>
        <v>363636.36363636365</v>
      </c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>
        <f t="shared" ref="AK8:AK38" si="16">SUM(Y8:AJ8)</f>
        <v>0</v>
      </c>
      <c r="AL8" s="126">
        <f>VLOOKUP(X8,'Tax Calc'!$B$5:$I$16,1,TRUE)</f>
        <v>0</v>
      </c>
      <c r="AM8" s="126">
        <f>VLOOKUP(X8,'Tax Calc'!$B$5:$I$16,2,TRUE)</f>
        <v>600000</v>
      </c>
      <c r="AN8" s="127" t="b">
        <f t="shared" si="2"/>
        <v>1</v>
      </c>
      <c r="AO8" s="126">
        <f t="shared" si="3"/>
        <v>363637.36363636365</v>
      </c>
      <c r="AP8" s="128">
        <f>VLOOKUP(X8,'Tax Calc'!$B$5:$F$16,5,TRUE)</f>
        <v>0</v>
      </c>
      <c r="AQ8" s="126">
        <f t="shared" si="4"/>
        <v>0</v>
      </c>
      <c r="AR8" s="126">
        <f>VLOOKUP(X8,'Tax Calc'!$B$5:$H$16,7,TRUE)</f>
        <v>0</v>
      </c>
      <c r="AS8" s="126">
        <f t="shared" si="5"/>
        <v>0</v>
      </c>
      <c r="AT8" s="129"/>
      <c r="AU8" s="135"/>
      <c r="AV8" s="136"/>
    </row>
    <row r="9" spans="2:48">
      <c r="B9" s="111">
        <v>5</v>
      </c>
      <c r="C9" s="131" t="s">
        <v>106</v>
      </c>
      <c r="D9" s="132" t="s">
        <v>146</v>
      </c>
      <c r="E9" s="113" t="s">
        <v>140</v>
      </c>
      <c r="F9" s="113" t="s">
        <v>91</v>
      </c>
      <c r="G9" s="138">
        <v>44298</v>
      </c>
      <c r="H9" s="114">
        <f>VLOOKUP($D9,'Salary Sheet'!$C$3:$AD$61,23,FALSE)</f>
        <v>19800</v>
      </c>
      <c r="I9" s="114">
        <f>VLOOKUP($D9,'Salary Sheet'!$C$3:$AD$61,24,FALSE)</f>
        <v>7500</v>
      </c>
      <c r="J9" s="114">
        <f>VLOOKUP($D9,'Salary Sheet'!$C$3:$AD$61,25,FALSE)</f>
        <v>2700</v>
      </c>
      <c r="K9" s="117">
        <f t="shared" si="0"/>
        <v>30000</v>
      </c>
      <c r="L9" s="118">
        <v>33000</v>
      </c>
      <c r="M9" s="118">
        <f t="shared" ref="M9" si="17">L9</f>
        <v>33000</v>
      </c>
      <c r="N9" s="118">
        <f t="shared" ref="N9" si="18">M9</f>
        <v>33000</v>
      </c>
      <c r="O9" s="118">
        <f t="shared" ref="O9" si="19">N9</f>
        <v>33000</v>
      </c>
      <c r="P9" s="118">
        <f t="shared" ref="P9" si="20">O9</f>
        <v>33000</v>
      </c>
      <c r="Q9" s="118">
        <f t="shared" ref="Q9" si="21">P9</f>
        <v>33000</v>
      </c>
      <c r="R9" s="118">
        <f>VLOOKUP(D9,'Salary Sheet'!$C$3:$AG$61,28,FALSE)</f>
        <v>30000</v>
      </c>
      <c r="S9" s="118">
        <f t="shared" ref="S9:S38" si="22">R9</f>
        <v>30000</v>
      </c>
      <c r="T9" s="118">
        <f t="shared" ref="T9:T38" si="23">S9</f>
        <v>30000</v>
      </c>
      <c r="U9" s="118">
        <f t="shared" ref="U9:U38" si="24">T9</f>
        <v>30000</v>
      </c>
      <c r="V9" s="118">
        <f t="shared" ref="V9:V38" si="25">U9</f>
        <v>30000</v>
      </c>
      <c r="W9" s="118">
        <f t="shared" ref="W9:W38" si="26">V9</f>
        <v>30000</v>
      </c>
      <c r="X9" s="137">
        <f t="shared" si="15"/>
        <v>343636.36363636365</v>
      </c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>
        <f t="shared" si="16"/>
        <v>0</v>
      </c>
      <c r="AL9" s="126">
        <f>VLOOKUP(X9,'Tax Calc'!$B$5:$I$16,1,TRUE)</f>
        <v>0</v>
      </c>
      <c r="AM9" s="126">
        <f>VLOOKUP(X9,'Tax Calc'!$B$5:$I$16,2,TRUE)</f>
        <v>600000</v>
      </c>
      <c r="AN9" s="127" t="b">
        <f t="shared" si="2"/>
        <v>1</v>
      </c>
      <c r="AO9" s="126">
        <f t="shared" si="3"/>
        <v>343637.36363636365</v>
      </c>
      <c r="AP9" s="128">
        <f>VLOOKUP(X9,'Tax Calc'!$B$5:$F$16,5,TRUE)</f>
        <v>0</v>
      </c>
      <c r="AQ9" s="126">
        <f t="shared" si="4"/>
        <v>0</v>
      </c>
      <c r="AR9" s="126">
        <f>VLOOKUP(X9,'Tax Calc'!$B$5:$H$16,7,TRUE)</f>
        <v>0</v>
      </c>
      <c r="AS9" s="126">
        <f t="shared" si="5"/>
        <v>0</v>
      </c>
    </row>
    <row r="10" spans="2:48">
      <c r="B10" s="111">
        <v>6</v>
      </c>
      <c r="C10" s="131" t="s">
        <v>107</v>
      </c>
      <c r="D10" s="132" t="s">
        <v>147</v>
      </c>
      <c r="E10" s="113" t="s">
        <v>140</v>
      </c>
      <c r="F10" s="113" t="s">
        <v>91</v>
      </c>
      <c r="G10" s="138">
        <v>44221</v>
      </c>
      <c r="H10" s="114" t="e">
        <f>VLOOKUP($D10,'Salary Sheet'!$C$3:$AD$61,23,FALSE)</f>
        <v>#N/A</v>
      </c>
      <c r="I10" s="114" t="e">
        <f>VLOOKUP($D10,'Salary Sheet'!$C$3:$AD$61,24,FALSE)</f>
        <v>#N/A</v>
      </c>
      <c r="J10" s="114" t="e">
        <f>VLOOKUP($D10,'Salary Sheet'!$C$3:$AD$61,25,FALSE)</f>
        <v>#N/A</v>
      </c>
      <c r="K10" s="117" t="e">
        <f t="shared" si="0"/>
        <v>#N/A</v>
      </c>
      <c r="L10" s="118">
        <v>33000</v>
      </c>
      <c r="M10" s="118">
        <f t="shared" ref="M10:M38" si="27">L10</f>
        <v>33000</v>
      </c>
      <c r="N10" s="118">
        <f t="shared" ref="N10:N38" si="28">M10</f>
        <v>33000</v>
      </c>
      <c r="O10" s="118">
        <f t="shared" ref="O10:O38" si="29">N10</f>
        <v>33000</v>
      </c>
      <c r="P10" s="118">
        <f t="shared" ref="P10:P38" si="30">O10</f>
        <v>33000</v>
      </c>
      <c r="Q10" s="118">
        <f t="shared" ref="Q10:Q38" si="31">P10</f>
        <v>33000</v>
      </c>
      <c r="R10" s="118" t="e">
        <f>VLOOKUP(D10,'Salary Sheet'!$C$3:$AG$61,28,FALSE)</f>
        <v>#N/A</v>
      </c>
      <c r="S10" s="118" t="e">
        <f t="shared" si="22"/>
        <v>#N/A</v>
      </c>
      <c r="T10" s="118" t="e">
        <f t="shared" si="23"/>
        <v>#N/A</v>
      </c>
      <c r="U10" s="118" t="e">
        <f t="shared" si="24"/>
        <v>#N/A</v>
      </c>
      <c r="V10" s="118" t="e">
        <f t="shared" si="25"/>
        <v>#N/A</v>
      </c>
      <c r="W10" s="118" t="e">
        <f t="shared" si="26"/>
        <v>#N/A</v>
      </c>
      <c r="X10" s="137" t="e">
        <f t="shared" si="15"/>
        <v>#N/A</v>
      </c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>
        <f t="shared" si="16"/>
        <v>0</v>
      </c>
      <c r="AL10" s="126" t="e">
        <f>VLOOKUP(X10,'Tax Calc'!$B$5:$I$16,1,TRUE)</f>
        <v>#N/A</v>
      </c>
      <c r="AM10" s="126" t="e">
        <f>VLOOKUP(X10,'Tax Calc'!$B$5:$I$16,2,TRUE)</f>
        <v>#N/A</v>
      </c>
      <c r="AN10" s="127" t="e">
        <f t="shared" si="2"/>
        <v>#N/A</v>
      </c>
      <c r="AO10" s="126" t="e">
        <f t="shared" si="3"/>
        <v>#N/A</v>
      </c>
      <c r="AP10" s="128" t="e">
        <f>VLOOKUP(X10,'Tax Calc'!$B$5:$F$16,5,TRUE)</f>
        <v>#N/A</v>
      </c>
      <c r="AQ10" s="126" t="e">
        <f t="shared" si="4"/>
        <v>#N/A</v>
      </c>
      <c r="AR10" s="126" t="e">
        <f>VLOOKUP(X10,'Tax Calc'!$B$5:$H$16,7,TRUE)</f>
        <v>#N/A</v>
      </c>
      <c r="AS10" s="126" t="e">
        <f t="shared" si="5"/>
        <v>#N/A</v>
      </c>
    </row>
    <row r="11" spans="2:48">
      <c r="B11" s="111">
        <v>7</v>
      </c>
      <c r="C11" s="131" t="s">
        <v>108</v>
      </c>
      <c r="D11" s="132" t="s">
        <v>148</v>
      </c>
      <c r="E11" s="113" t="s">
        <v>140</v>
      </c>
      <c r="F11" s="113" t="s">
        <v>91</v>
      </c>
      <c r="G11" s="138">
        <v>44218</v>
      </c>
      <c r="H11" s="114" t="e">
        <f>VLOOKUP($D11,'Salary Sheet'!$C$3:$AD$61,23,FALSE)</f>
        <v>#N/A</v>
      </c>
      <c r="I11" s="114" t="e">
        <f>VLOOKUP($D11,'Salary Sheet'!$C$3:$AD$61,24,FALSE)</f>
        <v>#N/A</v>
      </c>
      <c r="J11" s="114" t="e">
        <f>VLOOKUP($D11,'Salary Sheet'!$C$3:$AD$61,25,FALSE)</f>
        <v>#N/A</v>
      </c>
      <c r="K11" s="117" t="e">
        <f t="shared" si="0"/>
        <v>#N/A</v>
      </c>
      <c r="L11" s="118">
        <v>33000</v>
      </c>
      <c r="M11" s="118">
        <f t="shared" si="27"/>
        <v>33000</v>
      </c>
      <c r="N11" s="118">
        <f t="shared" si="28"/>
        <v>33000</v>
      </c>
      <c r="O11" s="118">
        <f t="shared" si="29"/>
        <v>33000</v>
      </c>
      <c r="P11" s="118">
        <f t="shared" si="30"/>
        <v>33000</v>
      </c>
      <c r="Q11" s="118">
        <f t="shared" si="31"/>
        <v>33000</v>
      </c>
      <c r="R11" s="118" t="e">
        <f>VLOOKUP(D11,'Salary Sheet'!$C$3:$AG$61,28,FALSE)</f>
        <v>#N/A</v>
      </c>
      <c r="S11" s="118" t="e">
        <f t="shared" si="22"/>
        <v>#N/A</v>
      </c>
      <c r="T11" s="118" t="e">
        <f t="shared" si="23"/>
        <v>#N/A</v>
      </c>
      <c r="U11" s="118" t="e">
        <f t="shared" si="24"/>
        <v>#N/A</v>
      </c>
      <c r="V11" s="118" t="e">
        <f t="shared" si="25"/>
        <v>#N/A</v>
      </c>
      <c r="W11" s="118" t="e">
        <f t="shared" si="26"/>
        <v>#N/A</v>
      </c>
      <c r="X11" s="137" t="e">
        <f t="shared" si="15"/>
        <v>#N/A</v>
      </c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>
        <f t="shared" si="16"/>
        <v>0</v>
      </c>
      <c r="AL11" s="126" t="e">
        <f>VLOOKUP(X11,'Tax Calc'!$B$5:$I$16,1,TRUE)</f>
        <v>#N/A</v>
      </c>
      <c r="AM11" s="126" t="e">
        <f>VLOOKUP(X11,'Tax Calc'!$B$5:$I$16,2,TRUE)</f>
        <v>#N/A</v>
      </c>
      <c r="AN11" s="127" t="e">
        <f t="shared" si="2"/>
        <v>#N/A</v>
      </c>
      <c r="AO11" s="126" t="e">
        <f t="shared" si="3"/>
        <v>#N/A</v>
      </c>
      <c r="AP11" s="128" t="e">
        <f>VLOOKUP(X11,'Tax Calc'!$B$5:$F$16,5,TRUE)</f>
        <v>#N/A</v>
      </c>
      <c r="AQ11" s="126" t="e">
        <f t="shared" si="4"/>
        <v>#N/A</v>
      </c>
      <c r="AR11" s="126" t="e">
        <f>VLOOKUP(X11,'Tax Calc'!$B$5:$H$16,7,TRUE)</f>
        <v>#N/A</v>
      </c>
      <c r="AS11" s="126" t="e">
        <f t="shared" si="5"/>
        <v>#N/A</v>
      </c>
    </row>
    <row r="12" spans="2:48">
      <c r="B12" s="111">
        <v>8</v>
      </c>
      <c r="C12" s="131" t="s">
        <v>149</v>
      </c>
      <c r="D12" s="132" t="s">
        <v>150</v>
      </c>
      <c r="E12" s="113" t="s">
        <v>140</v>
      </c>
      <c r="F12" s="113" t="s">
        <v>91</v>
      </c>
      <c r="G12" s="138">
        <v>44389</v>
      </c>
      <c r="H12" s="114" t="e">
        <f>VLOOKUP($D12,'Salary Sheet'!$C$3:$AD$61,23,FALSE)</f>
        <v>#N/A</v>
      </c>
      <c r="I12" s="114" t="e">
        <f>VLOOKUP($D12,'Salary Sheet'!$C$3:$AD$61,24,FALSE)</f>
        <v>#N/A</v>
      </c>
      <c r="J12" s="114" t="e">
        <f>VLOOKUP($D12,'Salary Sheet'!$C$3:$AD$61,25,FALSE)</f>
        <v>#N/A</v>
      </c>
      <c r="K12" s="117" t="e">
        <f t="shared" si="0"/>
        <v>#N/A</v>
      </c>
      <c r="L12" s="118">
        <v>30000</v>
      </c>
      <c r="M12" s="118">
        <f t="shared" si="27"/>
        <v>30000</v>
      </c>
      <c r="N12" s="118">
        <f t="shared" si="28"/>
        <v>30000</v>
      </c>
      <c r="O12" s="118">
        <f t="shared" si="29"/>
        <v>30000</v>
      </c>
      <c r="P12" s="118">
        <f t="shared" si="30"/>
        <v>30000</v>
      </c>
      <c r="Q12" s="118">
        <f t="shared" si="31"/>
        <v>30000</v>
      </c>
      <c r="R12" s="118" t="e">
        <f>VLOOKUP(D12,'Salary Sheet'!$C$3:$AG$61,28,FALSE)</f>
        <v>#N/A</v>
      </c>
      <c r="S12" s="118" t="e">
        <f t="shared" si="22"/>
        <v>#N/A</v>
      </c>
      <c r="T12" s="118" t="e">
        <f t="shared" si="23"/>
        <v>#N/A</v>
      </c>
      <c r="U12" s="118" t="e">
        <f t="shared" si="24"/>
        <v>#N/A</v>
      </c>
      <c r="V12" s="118" t="e">
        <f t="shared" si="25"/>
        <v>#N/A</v>
      </c>
      <c r="W12" s="118" t="e">
        <f t="shared" si="26"/>
        <v>#N/A</v>
      </c>
      <c r="X12" s="137" t="e">
        <f t="shared" si="15"/>
        <v>#N/A</v>
      </c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>
        <f t="shared" si="16"/>
        <v>0</v>
      </c>
      <c r="AL12" s="126" t="e">
        <f>VLOOKUP(X12,'Tax Calc'!$B$5:$I$16,1,TRUE)</f>
        <v>#N/A</v>
      </c>
      <c r="AM12" s="126" t="e">
        <f>VLOOKUP(X12,'Tax Calc'!$B$5:$I$16,2,TRUE)</f>
        <v>#N/A</v>
      </c>
      <c r="AN12" s="127" t="e">
        <f t="shared" si="2"/>
        <v>#N/A</v>
      </c>
      <c r="AO12" s="126" t="e">
        <f t="shared" si="3"/>
        <v>#N/A</v>
      </c>
      <c r="AP12" s="128" t="e">
        <f>VLOOKUP(X12,'Tax Calc'!$B$5:$F$16,5,TRUE)</f>
        <v>#N/A</v>
      </c>
      <c r="AQ12" s="126" t="e">
        <f t="shared" si="4"/>
        <v>#N/A</v>
      </c>
      <c r="AR12" s="126" t="e">
        <f>VLOOKUP(X12,'Tax Calc'!$B$5:$H$16,7,TRUE)</f>
        <v>#N/A</v>
      </c>
      <c r="AS12" s="126" t="e">
        <f t="shared" si="5"/>
        <v>#N/A</v>
      </c>
    </row>
    <row r="13" spans="2:48">
      <c r="B13" s="111">
        <v>9</v>
      </c>
      <c r="C13" s="131" t="s">
        <v>109</v>
      </c>
      <c r="D13" s="132" t="s">
        <v>152</v>
      </c>
      <c r="E13" s="113" t="s">
        <v>141</v>
      </c>
      <c r="F13" s="113" t="s">
        <v>91</v>
      </c>
      <c r="G13" s="138">
        <v>44137</v>
      </c>
      <c r="H13" s="114">
        <f>VLOOKUP($D13,'Salary Sheet'!$C$3:$AD$61,23,FALSE)</f>
        <v>19800</v>
      </c>
      <c r="I13" s="114">
        <f>VLOOKUP($D13,'Salary Sheet'!$C$3:$AD$61,24,FALSE)</f>
        <v>7500</v>
      </c>
      <c r="J13" s="114">
        <f>VLOOKUP($D13,'Salary Sheet'!$C$3:$AD$61,25,FALSE)</f>
        <v>2700</v>
      </c>
      <c r="K13" s="117">
        <f t="shared" si="0"/>
        <v>30000</v>
      </c>
      <c r="L13" s="118">
        <v>0</v>
      </c>
      <c r="M13" s="118">
        <f t="shared" si="27"/>
        <v>0</v>
      </c>
      <c r="N13" s="118">
        <f t="shared" si="28"/>
        <v>0</v>
      </c>
      <c r="O13" s="118">
        <f t="shared" si="29"/>
        <v>0</v>
      </c>
      <c r="P13" s="118">
        <f t="shared" si="30"/>
        <v>0</v>
      </c>
      <c r="Q13" s="118">
        <f t="shared" si="31"/>
        <v>0</v>
      </c>
      <c r="R13" s="118">
        <f>VLOOKUP(D13,'Salary Sheet'!$C$3:$AG$61,28,FALSE)</f>
        <v>30000</v>
      </c>
      <c r="S13" s="118">
        <f t="shared" si="22"/>
        <v>30000</v>
      </c>
      <c r="T13" s="118">
        <f t="shared" si="23"/>
        <v>30000</v>
      </c>
      <c r="U13" s="118">
        <f t="shared" si="24"/>
        <v>30000</v>
      </c>
      <c r="V13" s="118">
        <f t="shared" si="25"/>
        <v>30000</v>
      </c>
      <c r="W13" s="118">
        <f t="shared" si="26"/>
        <v>30000</v>
      </c>
      <c r="X13" s="137">
        <f t="shared" si="15"/>
        <v>163636.36363636362</v>
      </c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>
        <f t="shared" si="16"/>
        <v>0</v>
      </c>
      <c r="AL13" s="126">
        <f>VLOOKUP(X13,'Tax Calc'!$B$5:$I$16,1,TRUE)</f>
        <v>0</v>
      </c>
      <c r="AM13" s="126">
        <f>VLOOKUP(X13,'Tax Calc'!$B$5:$I$16,2,TRUE)</f>
        <v>600000</v>
      </c>
      <c r="AN13" s="127" t="b">
        <f t="shared" si="2"/>
        <v>1</v>
      </c>
      <c r="AO13" s="126">
        <f t="shared" si="3"/>
        <v>163637.36363636362</v>
      </c>
      <c r="AP13" s="128">
        <f>VLOOKUP(X13,'Tax Calc'!$B$5:$F$16,5,TRUE)</f>
        <v>0</v>
      </c>
      <c r="AQ13" s="126">
        <f t="shared" si="4"/>
        <v>0</v>
      </c>
      <c r="AR13" s="126">
        <f>VLOOKUP(X13,'Tax Calc'!$B$5:$H$16,7,TRUE)</f>
        <v>0</v>
      </c>
      <c r="AS13" s="126">
        <f t="shared" si="5"/>
        <v>0</v>
      </c>
    </row>
    <row r="14" spans="2:48">
      <c r="B14" s="111">
        <v>10</v>
      </c>
      <c r="C14" s="131" t="s">
        <v>110</v>
      </c>
      <c r="D14" s="132">
        <v>3410173752691</v>
      </c>
      <c r="E14" s="113" t="s">
        <v>141</v>
      </c>
      <c r="F14" s="113" t="s">
        <v>91</v>
      </c>
      <c r="G14" s="138">
        <v>44166</v>
      </c>
      <c r="H14" s="114">
        <f>VLOOKUP($D14,'Salary Sheet'!$C$3:$AD$61,23,FALSE)</f>
        <v>19800</v>
      </c>
      <c r="I14" s="114">
        <f>VLOOKUP($D14,'Salary Sheet'!$C$3:$AD$61,24,FALSE)</f>
        <v>7500</v>
      </c>
      <c r="J14" s="114">
        <f>VLOOKUP($D14,'Salary Sheet'!$C$3:$AD$61,25,FALSE)</f>
        <v>2700</v>
      </c>
      <c r="K14" s="117">
        <f t="shared" si="0"/>
        <v>30000</v>
      </c>
      <c r="L14" s="118">
        <v>0</v>
      </c>
      <c r="M14" s="118">
        <f t="shared" si="27"/>
        <v>0</v>
      </c>
      <c r="N14" s="118">
        <f t="shared" si="28"/>
        <v>0</v>
      </c>
      <c r="O14" s="118">
        <f t="shared" si="29"/>
        <v>0</v>
      </c>
      <c r="P14" s="118">
        <f t="shared" si="30"/>
        <v>0</v>
      </c>
      <c r="Q14" s="118">
        <v>37500</v>
      </c>
      <c r="R14" s="118">
        <f>VLOOKUP(D14,'Salary Sheet'!$C$3:$AG$61,28,FALSE)</f>
        <v>30000</v>
      </c>
      <c r="S14" s="118">
        <f t="shared" si="22"/>
        <v>30000</v>
      </c>
      <c r="T14" s="118">
        <f t="shared" si="23"/>
        <v>30000</v>
      </c>
      <c r="U14" s="118">
        <f t="shared" si="24"/>
        <v>30000</v>
      </c>
      <c r="V14" s="118">
        <f t="shared" si="25"/>
        <v>30000</v>
      </c>
      <c r="W14" s="118">
        <f t="shared" si="26"/>
        <v>30000</v>
      </c>
      <c r="X14" s="137">
        <f t="shared" si="15"/>
        <v>197727.27272727274</v>
      </c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>
        <f t="shared" si="16"/>
        <v>0</v>
      </c>
      <c r="AL14" s="126">
        <f>VLOOKUP(X14,'Tax Calc'!$B$5:$I$16,1,TRUE)</f>
        <v>0</v>
      </c>
      <c r="AM14" s="126">
        <f>VLOOKUP(X14,'Tax Calc'!$B$5:$I$16,2,TRUE)</f>
        <v>600000</v>
      </c>
      <c r="AN14" s="127" t="b">
        <f t="shared" si="2"/>
        <v>1</v>
      </c>
      <c r="AO14" s="126">
        <f t="shared" si="3"/>
        <v>197728.27272727274</v>
      </c>
      <c r="AP14" s="128">
        <f>VLOOKUP(X14,'Tax Calc'!$B$5:$F$16,5,TRUE)</f>
        <v>0</v>
      </c>
      <c r="AQ14" s="126">
        <f t="shared" si="4"/>
        <v>0</v>
      </c>
      <c r="AR14" s="126">
        <f>VLOOKUP(X14,'Tax Calc'!$B$5:$H$16,7,TRUE)</f>
        <v>0</v>
      </c>
      <c r="AS14" s="126">
        <f t="shared" si="5"/>
        <v>0</v>
      </c>
    </row>
    <row r="15" spans="2:48">
      <c r="B15" s="111">
        <v>11</v>
      </c>
      <c r="C15" s="131" t="s">
        <v>111</v>
      </c>
      <c r="D15" s="132" t="s">
        <v>155</v>
      </c>
      <c r="E15" s="113" t="s">
        <v>141</v>
      </c>
      <c r="F15" s="113" t="s">
        <v>91</v>
      </c>
      <c r="G15" s="138">
        <v>44159</v>
      </c>
      <c r="H15" s="114">
        <f>VLOOKUP($D15,'Salary Sheet'!$C$3:$AD$61,23,FALSE)</f>
        <v>19800</v>
      </c>
      <c r="I15" s="114">
        <f>VLOOKUP($D15,'Salary Sheet'!$C$3:$AD$61,24,FALSE)</f>
        <v>7500</v>
      </c>
      <c r="J15" s="114">
        <f>VLOOKUP($D15,'Salary Sheet'!$C$3:$AD$61,25,FALSE)</f>
        <v>2700</v>
      </c>
      <c r="K15" s="117">
        <f t="shared" si="0"/>
        <v>30000</v>
      </c>
      <c r="L15" s="118">
        <v>0</v>
      </c>
      <c r="M15" s="118">
        <f t="shared" si="27"/>
        <v>0</v>
      </c>
      <c r="N15" s="118">
        <f t="shared" si="28"/>
        <v>0</v>
      </c>
      <c r="O15" s="118">
        <f t="shared" si="29"/>
        <v>0</v>
      </c>
      <c r="P15" s="118">
        <f t="shared" si="30"/>
        <v>0</v>
      </c>
      <c r="Q15" s="118">
        <v>40000</v>
      </c>
      <c r="R15" s="118">
        <f>VLOOKUP(D15,'Salary Sheet'!$C$3:$AG$61,28,FALSE)</f>
        <v>30000</v>
      </c>
      <c r="S15" s="118">
        <f t="shared" si="22"/>
        <v>30000</v>
      </c>
      <c r="T15" s="118">
        <f t="shared" si="23"/>
        <v>30000</v>
      </c>
      <c r="U15" s="118">
        <f t="shared" si="24"/>
        <v>30000</v>
      </c>
      <c r="V15" s="118">
        <f t="shared" si="25"/>
        <v>30000</v>
      </c>
      <c r="W15" s="118">
        <f t="shared" si="26"/>
        <v>30000</v>
      </c>
      <c r="X15" s="137">
        <f t="shared" si="15"/>
        <v>200000</v>
      </c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>
        <f t="shared" si="16"/>
        <v>0</v>
      </c>
      <c r="AL15" s="126">
        <f>VLOOKUP(X15,'Tax Calc'!$B$5:$I$16,1,TRUE)</f>
        <v>0</v>
      </c>
      <c r="AM15" s="126">
        <f>VLOOKUP(X15,'Tax Calc'!$B$5:$I$16,2,TRUE)</f>
        <v>600000</v>
      </c>
      <c r="AN15" s="127" t="b">
        <f t="shared" si="2"/>
        <v>1</v>
      </c>
      <c r="AO15" s="126">
        <f t="shared" si="3"/>
        <v>200001</v>
      </c>
      <c r="AP15" s="128">
        <f>VLOOKUP(X15,'Tax Calc'!$B$5:$F$16,5,TRUE)</f>
        <v>0</v>
      </c>
      <c r="AQ15" s="126">
        <f t="shared" si="4"/>
        <v>0</v>
      </c>
      <c r="AR15" s="126">
        <f>VLOOKUP(X15,'Tax Calc'!$B$5:$H$16,7,TRUE)</f>
        <v>0</v>
      </c>
      <c r="AS15" s="126">
        <f t="shared" si="5"/>
        <v>0</v>
      </c>
    </row>
    <row r="16" spans="2:48" ht="14.1" customHeight="1">
      <c r="B16" s="111">
        <v>12</v>
      </c>
      <c r="C16" s="131" t="s">
        <v>112</v>
      </c>
      <c r="D16" s="132">
        <v>3840703396647</v>
      </c>
      <c r="E16" s="113" t="s">
        <v>139</v>
      </c>
      <c r="F16" s="113" t="s">
        <v>91</v>
      </c>
      <c r="G16" s="138">
        <v>44075</v>
      </c>
      <c r="H16" s="114">
        <f>VLOOKUP($D16,'Salary Sheet'!$C$3:$AD$61,23,FALSE)</f>
        <v>19800</v>
      </c>
      <c r="I16" s="114">
        <f>VLOOKUP($D16,'Salary Sheet'!$C$3:$AD$61,24,FALSE)</f>
        <v>7500</v>
      </c>
      <c r="J16" s="114">
        <f>VLOOKUP($D16,'Salary Sheet'!$C$3:$AD$61,25,FALSE)</f>
        <v>2700</v>
      </c>
      <c r="K16" s="117">
        <f t="shared" si="0"/>
        <v>30000</v>
      </c>
      <c r="L16" s="118">
        <v>18000</v>
      </c>
      <c r="M16" s="118">
        <f t="shared" si="27"/>
        <v>18000</v>
      </c>
      <c r="N16" s="118">
        <f t="shared" si="28"/>
        <v>18000</v>
      </c>
      <c r="O16" s="118">
        <f t="shared" si="29"/>
        <v>18000</v>
      </c>
      <c r="P16" s="118">
        <f t="shared" si="30"/>
        <v>18000</v>
      </c>
      <c r="Q16" s="118">
        <f t="shared" si="31"/>
        <v>18000</v>
      </c>
      <c r="R16" s="118">
        <f>VLOOKUP(D16,'Salary Sheet'!$C$3:$AG$61,28,FALSE)</f>
        <v>30000</v>
      </c>
      <c r="S16" s="118">
        <f t="shared" si="22"/>
        <v>30000</v>
      </c>
      <c r="T16" s="118">
        <f t="shared" si="23"/>
        <v>30000</v>
      </c>
      <c r="U16" s="118">
        <f t="shared" si="24"/>
        <v>30000</v>
      </c>
      <c r="V16" s="118">
        <f t="shared" si="25"/>
        <v>30000</v>
      </c>
      <c r="W16" s="118">
        <f t="shared" si="26"/>
        <v>30000</v>
      </c>
      <c r="X16" s="137">
        <f t="shared" si="15"/>
        <v>261818.18181818179</v>
      </c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>
        <f t="shared" si="16"/>
        <v>0</v>
      </c>
      <c r="AL16" s="126">
        <f>VLOOKUP(X16,'Tax Calc'!$B$5:$I$16,1,TRUE)</f>
        <v>0</v>
      </c>
      <c r="AM16" s="126">
        <f>VLOOKUP(X16,'Tax Calc'!$B$5:$I$16,2,TRUE)</f>
        <v>600000</v>
      </c>
      <c r="AN16" s="127" t="b">
        <f t="shared" si="2"/>
        <v>1</v>
      </c>
      <c r="AO16" s="126">
        <f t="shared" si="3"/>
        <v>261819.18181818179</v>
      </c>
      <c r="AP16" s="128">
        <f>VLOOKUP(X16,'Tax Calc'!$B$5:$F$16,5,TRUE)</f>
        <v>0</v>
      </c>
      <c r="AQ16" s="126">
        <f t="shared" ref="AQ16" si="32">IF(AN16,AO16*AP16)</f>
        <v>0</v>
      </c>
      <c r="AR16" s="126">
        <f>VLOOKUP(X16,'Tax Calc'!$B$5:$H$16,7,TRUE)</f>
        <v>0</v>
      </c>
      <c r="AS16" s="126">
        <f t="shared" si="5"/>
        <v>0</v>
      </c>
    </row>
    <row r="17" spans="2:45">
      <c r="B17" s="111">
        <v>13</v>
      </c>
      <c r="C17" s="131" t="s">
        <v>113</v>
      </c>
      <c r="D17" s="132" t="s">
        <v>158</v>
      </c>
      <c r="E17" s="113" t="s">
        <v>141</v>
      </c>
      <c r="F17" s="113" t="s">
        <v>91</v>
      </c>
      <c r="G17" s="138">
        <v>44222</v>
      </c>
      <c r="H17" s="114">
        <f>VLOOKUP($D17,'Salary Sheet'!$C$3:$AD$61,23,FALSE)</f>
        <v>19800</v>
      </c>
      <c r="I17" s="114">
        <f>VLOOKUP($D17,'Salary Sheet'!$C$3:$AD$61,24,FALSE)</f>
        <v>7500</v>
      </c>
      <c r="J17" s="114">
        <f>VLOOKUP($D17,'Salary Sheet'!$C$3:$AD$61,25,FALSE)</f>
        <v>2700</v>
      </c>
      <c r="K17" s="117">
        <f t="shared" si="0"/>
        <v>30000</v>
      </c>
      <c r="L17" s="118">
        <v>30000</v>
      </c>
      <c r="M17" s="118">
        <f t="shared" si="27"/>
        <v>30000</v>
      </c>
      <c r="N17" s="118">
        <f t="shared" si="28"/>
        <v>30000</v>
      </c>
      <c r="O17" s="118">
        <f t="shared" si="29"/>
        <v>30000</v>
      </c>
      <c r="P17" s="118">
        <f t="shared" si="30"/>
        <v>30000</v>
      </c>
      <c r="Q17" s="118">
        <f t="shared" si="31"/>
        <v>30000</v>
      </c>
      <c r="R17" s="118">
        <f>VLOOKUP(D17,'Salary Sheet'!$C$3:$AG$61,28,FALSE)</f>
        <v>30000</v>
      </c>
      <c r="S17" s="118">
        <f t="shared" si="22"/>
        <v>30000</v>
      </c>
      <c r="T17" s="118">
        <f t="shared" si="23"/>
        <v>30000</v>
      </c>
      <c r="U17" s="118">
        <f t="shared" si="24"/>
        <v>30000</v>
      </c>
      <c r="V17" s="118">
        <f t="shared" si="25"/>
        <v>30000</v>
      </c>
      <c r="W17" s="118">
        <f t="shared" si="26"/>
        <v>30000</v>
      </c>
      <c r="X17" s="137">
        <f t="shared" si="15"/>
        <v>327272.72727272724</v>
      </c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>
        <f t="shared" si="16"/>
        <v>0</v>
      </c>
      <c r="AL17" s="126">
        <f>VLOOKUP(X17,'Tax Calc'!$B$5:$I$16,1,TRUE)</f>
        <v>0</v>
      </c>
      <c r="AM17" s="126">
        <f>VLOOKUP(X17,'Tax Calc'!$B$5:$I$16,2,TRUE)</f>
        <v>600000</v>
      </c>
      <c r="AN17" s="127" t="b">
        <f t="shared" si="2"/>
        <v>1</v>
      </c>
      <c r="AO17" s="126">
        <f t="shared" si="3"/>
        <v>327273.72727272724</v>
      </c>
      <c r="AP17" s="128">
        <f>VLOOKUP(X17,'Tax Calc'!$B$5:$F$16,5,TRUE)</f>
        <v>0</v>
      </c>
      <c r="AQ17" s="126">
        <f t="shared" ref="AQ17:AQ29" si="33">IF(AN17,AO17*AP17)</f>
        <v>0</v>
      </c>
      <c r="AR17" s="126">
        <f>VLOOKUP(X17,'Tax Calc'!$B$5:$H$16,7,TRUE)</f>
        <v>0</v>
      </c>
      <c r="AS17" s="126">
        <f t="shared" si="5"/>
        <v>0</v>
      </c>
    </row>
    <row r="18" spans="2:45">
      <c r="B18" s="111">
        <v>14</v>
      </c>
      <c r="C18" s="131" t="s">
        <v>114</v>
      </c>
      <c r="D18" s="132" t="s">
        <v>159</v>
      </c>
      <c r="E18" s="113" t="s">
        <v>141</v>
      </c>
      <c r="F18" s="113" t="s">
        <v>91</v>
      </c>
      <c r="G18" s="138">
        <v>44257</v>
      </c>
      <c r="H18" s="114">
        <f>VLOOKUP($D18,'Salary Sheet'!$C$3:$AD$61,23,FALSE)</f>
        <v>19800</v>
      </c>
      <c r="I18" s="114">
        <f>VLOOKUP($D18,'Salary Sheet'!$C$3:$AD$61,24,FALSE)</f>
        <v>7500</v>
      </c>
      <c r="J18" s="114">
        <f>VLOOKUP($D18,'Salary Sheet'!$C$3:$AD$61,25,FALSE)</f>
        <v>2700</v>
      </c>
      <c r="K18" s="117">
        <f t="shared" si="0"/>
        <v>30000</v>
      </c>
      <c r="L18" s="118">
        <v>25000</v>
      </c>
      <c r="M18" s="118">
        <f t="shared" si="27"/>
        <v>25000</v>
      </c>
      <c r="N18" s="118">
        <f t="shared" si="28"/>
        <v>25000</v>
      </c>
      <c r="O18" s="118">
        <f t="shared" si="29"/>
        <v>25000</v>
      </c>
      <c r="P18" s="118">
        <f t="shared" si="30"/>
        <v>25000</v>
      </c>
      <c r="Q18" s="118">
        <f t="shared" si="31"/>
        <v>25000</v>
      </c>
      <c r="R18" s="118">
        <f>VLOOKUP(D18,'Salary Sheet'!$C$3:$AG$61,28,FALSE)</f>
        <v>30000</v>
      </c>
      <c r="S18" s="118">
        <f t="shared" si="22"/>
        <v>30000</v>
      </c>
      <c r="T18" s="118">
        <f t="shared" si="23"/>
        <v>30000</v>
      </c>
      <c r="U18" s="118">
        <f t="shared" si="24"/>
        <v>30000</v>
      </c>
      <c r="V18" s="118">
        <f t="shared" si="25"/>
        <v>30000</v>
      </c>
      <c r="W18" s="118">
        <f t="shared" si="26"/>
        <v>30000</v>
      </c>
      <c r="X18" s="137">
        <f t="shared" si="15"/>
        <v>300000</v>
      </c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>
        <f t="shared" si="16"/>
        <v>0</v>
      </c>
      <c r="AL18" s="126">
        <f>VLOOKUP(X18,'Tax Calc'!$B$5:$I$16,1,TRUE)</f>
        <v>0</v>
      </c>
      <c r="AM18" s="126">
        <f>VLOOKUP(X18,'Tax Calc'!$B$5:$I$16,2,TRUE)</f>
        <v>600000</v>
      </c>
      <c r="AN18" s="127" t="b">
        <f t="shared" si="2"/>
        <v>1</v>
      </c>
      <c r="AO18" s="126">
        <f t="shared" si="3"/>
        <v>300001</v>
      </c>
      <c r="AP18" s="128">
        <f>VLOOKUP(X18,'Tax Calc'!$B$5:$F$16,5,TRUE)</f>
        <v>0</v>
      </c>
      <c r="AQ18" s="126">
        <f t="shared" si="33"/>
        <v>0</v>
      </c>
      <c r="AR18" s="126">
        <f>VLOOKUP(X18,'Tax Calc'!$B$5:$H$16,7,TRUE)</f>
        <v>0</v>
      </c>
      <c r="AS18" s="126">
        <f t="shared" si="5"/>
        <v>0</v>
      </c>
    </row>
    <row r="19" spans="2:45">
      <c r="B19" s="111">
        <v>15</v>
      </c>
      <c r="C19" s="131" t="s">
        <v>115</v>
      </c>
      <c r="D19" s="132" t="s">
        <v>161</v>
      </c>
      <c r="E19" s="113" t="s">
        <v>141</v>
      </c>
      <c r="F19" s="113" t="s">
        <v>91</v>
      </c>
      <c r="G19" s="138">
        <v>44335</v>
      </c>
      <c r="H19" s="114">
        <f>VLOOKUP($D19,'Salary Sheet'!$C$3:$AD$61,23,FALSE)</f>
        <v>19800</v>
      </c>
      <c r="I19" s="114">
        <f>VLOOKUP($D19,'Salary Sheet'!$C$3:$AD$61,24,FALSE)</f>
        <v>7500</v>
      </c>
      <c r="J19" s="114">
        <f>VLOOKUP($D19,'Salary Sheet'!$C$3:$AD$61,25,FALSE)</f>
        <v>2700</v>
      </c>
      <c r="K19" s="117">
        <f t="shared" si="0"/>
        <v>30000</v>
      </c>
      <c r="L19" s="118">
        <v>25000</v>
      </c>
      <c r="M19" s="118">
        <f t="shared" si="27"/>
        <v>25000</v>
      </c>
      <c r="N19" s="118">
        <f t="shared" si="28"/>
        <v>25000</v>
      </c>
      <c r="O19" s="118">
        <f t="shared" si="29"/>
        <v>25000</v>
      </c>
      <c r="P19" s="118">
        <f t="shared" si="30"/>
        <v>25000</v>
      </c>
      <c r="Q19" s="118">
        <f t="shared" si="31"/>
        <v>25000</v>
      </c>
      <c r="R19" s="118">
        <f>VLOOKUP(D19,'Salary Sheet'!$C$3:$AG$61,28,FALSE)</f>
        <v>30000</v>
      </c>
      <c r="S19" s="118">
        <f t="shared" si="22"/>
        <v>30000</v>
      </c>
      <c r="T19" s="118">
        <f t="shared" si="23"/>
        <v>30000</v>
      </c>
      <c r="U19" s="118">
        <f t="shared" si="24"/>
        <v>30000</v>
      </c>
      <c r="V19" s="118">
        <f t="shared" si="25"/>
        <v>30000</v>
      </c>
      <c r="W19" s="118">
        <f t="shared" si="26"/>
        <v>30000</v>
      </c>
      <c r="X19" s="137">
        <f t="shared" si="15"/>
        <v>300000</v>
      </c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>
        <f t="shared" si="16"/>
        <v>0</v>
      </c>
      <c r="AL19" s="126">
        <f>VLOOKUP(X19,'Tax Calc'!$B$5:$I$16,1,TRUE)</f>
        <v>0</v>
      </c>
      <c r="AM19" s="126">
        <f>VLOOKUP(X19,'Tax Calc'!$B$5:$I$16,2,TRUE)</f>
        <v>600000</v>
      </c>
      <c r="AN19" s="127" t="b">
        <f t="shared" si="2"/>
        <v>1</v>
      </c>
      <c r="AO19" s="126">
        <f t="shared" si="3"/>
        <v>300001</v>
      </c>
      <c r="AP19" s="128">
        <f>VLOOKUP(X19,'Tax Calc'!$B$5:$F$16,5,TRUE)</f>
        <v>0</v>
      </c>
      <c r="AQ19" s="126">
        <f t="shared" si="33"/>
        <v>0</v>
      </c>
      <c r="AR19" s="126">
        <f>VLOOKUP(X19,'Tax Calc'!$B$5:$H$16,7,TRUE)</f>
        <v>0</v>
      </c>
      <c r="AS19" s="126">
        <f t="shared" si="5"/>
        <v>0</v>
      </c>
    </row>
    <row r="20" spans="2:45" ht="22.5">
      <c r="B20" s="111">
        <v>16</v>
      </c>
      <c r="C20" s="131" t="s">
        <v>116</v>
      </c>
      <c r="D20" s="132">
        <v>3450231247297</v>
      </c>
      <c r="E20" s="113" t="s">
        <v>141</v>
      </c>
      <c r="F20" s="113" t="s">
        <v>91</v>
      </c>
      <c r="G20" s="138">
        <v>44438</v>
      </c>
      <c r="H20" s="114">
        <f>VLOOKUP($D20,'Salary Sheet'!$C$3:$AD$61,23,FALSE)</f>
        <v>19800</v>
      </c>
      <c r="I20" s="114">
        <f>VLOOKUP($D20,'Salary Sheet'!$C$3:$AD$61,24,FALSE)</f>
        <v>7500</v>
      </c>
      <c r="J20" s="114">
        <f>VLOOKUP($D20,'Salary Sheet'!$C$3:$AD$61,25,FALSE)</f>
        <v>2700</v>
      </c>
      <c r="K20" s="117">
        <f t="shared" si="0"/>
        <v>30000</v>
      </c>
      <c r="L20" s="118">
        <v>0</v>
      </c>
      <c r="M20" s="118">
        <f t="shared" si="27"/>
        <v>0</v>
      </c>
      <c r="N20" s="118">
        <v>15000</v>
      </c>
      <c r="O20" s="118">
        <f t="shared" si="29"/>
        <v>15000</v>
      </c>
      <c r="P20" s="118">
        <f t="shared" si="30"/>
        <v>15000</v>
      </c>
      <c r="Q20" s="118">
        <f t="shared" si="31"/>
        <v>15000</v>
      </c>
      <c r="R20" s="118">
        <f>VLOOKUP(D20,'Salary Sheet'!$C$3:$AG$61,28,FALSE)</f>
        <v>30000</v>
      </c>
      <c r="S20" s="118">
        <f t="shared" si="22"/>
        <v>30000</v>
      </c>
      <c r="T20" s="118">
        <f t="shared" si="23"/>
        <v>30000</v>
      </c>
      <c r="U20" s="118">
        <f t="shared" si="24"/>
        <v>30000</v>
      </c>
      <c r="V20" s="118">
        <f t="shared" si="25"/>
        <v>30000</v>
      </c>
      <c r="W20" s="118">
        <f t="shared" si="26"/>
        <v>30000</v>
      </c>
      <c r="X20" s="137">
        <f t="shared" si="15"/>
        <v>218181.81818181821</v>
      </c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>
        <f t="shared" si="16"/>
        <v>0</v>
      </c>
      <c r="AL20" s="126">
        <f>VLOOKUP(X20,'Tax Calc'!$B$5:$I$16,1,TRUE)</f>
        <v>0</v>
      </c>
      <c r="AM20" s="126">
        <f>VLOOKUP(X20,'Tax Calc'!$B$5:$I$16,2,TRUE)</f>
        <v>600000</v>
      </c>
      <c r="AN20" s="127" t="b">
        <f t="shared" si="2"/>
        <v>1</v>
      </c>
      <c r="AO20" s="126">
        <f t="shared" si="3"/>
        <v>218182.81818181821</v>
      </c>
      <c r="AP20" s="128">
        <f>VLOOKUP(X20,'Tax Calc'!$B$5:$F$16,5,TRUE)</f>
        <v>0</v>
      </c>
      <c r="AQ20" s="126">
        <f t="shared" si="33"/>
        <v>0</v>
      </c>
      <c r="AR20" s="126">
        <f>VLOOKUP(X20,'Tax Calc'!$B$5:$H$16,7,TRUE)</f>
        <v>0</v>
      </c>
      <c r="AS20" s="126">
        <f t="shared" si="5"/>
        <v>0</v>
      </c>
    </row>
    <row r="21" spans="2:45">
      <c r="B21" s="111">
        <v>17</v>
      </c>
      <c r="C21" s="131" t="s">
        <v>117</v>
      </c>
      <c r="D21" s="132">
        <v>4220125175941</v>
      </c>
      <c r="E21" s="113" t="s">
        <v>141</v>
      </c>
      <c r="F21" s="113" t="s">
        <v>91</v>
      </c>
      <c r="G21" s="138">
        <v>43891</v>
      </c>
      <c r="H21" s="114">
        <f>VLOOKUP($D21,'Salary Sheet'!$C$3:$AD$61,23,FALSE)</f>
        <v>6507.6</v>
      </c>
      <c r="I21" s="114">
        <f>VLOOKUP($D21,'Salary Sheet'!$C$3:$AD$61,24,FALSE)</f>
        <v>2465</v>
      </c>
      <c r="J21" s="114">
        <f>VLOOKUP($D21,'Salary Sheet'!$C$3:$AD$61,25,FALSE)</f>
        <v>887.4</v>
      </c>
      <c r="K21" s="117">
        <f t="shared" si="0"/>
        <v>9860</v>
      </c>
      <c r="L21" s="118"/>
      <c r="M21" s="118">
        <f t="shared" si="27"/>
        <v>0</v>
      </c>
      <c r="N21" s="118">
        <f t="shared" si="28"/>
        <v>0</v>
      </c>
      <c r="O21" s="118">
        <f t="shared" si="29"/>
        <v>0</v>
      </c>
      <c r="P21" s="118">
        <f t="shared" si="30"/>
        <v>0</v>
      </c>
      <c r="Q21" s="118">
        <f t="shared" si="31"/>
        <v>0</v>
      </c>
      <c r="R21" s="118">
        <f>VLOOKUP(D21,'Salary Sheet'!$C$3:$AG$61,28,FALSE)</f>
        <v>9860</v>
      </c>
      <c r="S21" s="118">
        <f t="shared" si="22"/>
        <v>9860</v>
      </c>
      <c r="T21" s="118">
        <f t="shared" si="23"/>
        <v>9860</v>
      </c>
      <c r="U21" s="118">
        <f t="shared" si="24"/>
        <v>9860</v>
      </c>
      <c r="V21" s="118">
        <f t="shared" si="25"/>
        <v>9860</v>
      </c>
      <c r="W21" s="118">
        <f t="shared" si="26"/>
        <v>9860</v>
      </c>
      <c r="X21" s="137">
        <f t="shared" si="15"/>
        <v>53781.818181818184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>
        <f t="shared" si="16"/>
        <v>0</v>
      </c>
      <c r="AL21" s="126">
        <f>VLOOKUP(X21,'Tax Calc'!$B$5:$I$16,1,TRUE)</f>
        <v>0</v>
      </c>
      <c r="AM21" s="126">
        <f>VLOOKUP(X21,'Tax Calc'!$B$5:$I$16,2,TRUE)</f>
        <v>600000</v>
      </c>
      <c r="AN21" s="127" t="b">
        <f t="shared" si="2"/>
        <v>1</v>
      </c>
      <c r="AO21" s="126">
        <f t="shared" si="3"/>
        <v>53782.818181818184</v>
      </c>
      <c r="AP21" s="128">
        <f>VLOOKUP(X21,'Tax Calc'!$B$5:$F$16,5,TRUE)</f>
        <v>0</v>
      </c>
      <c r="AQ21" s="126">
        <f t="shared" si="33"/>
        <v>0</v>
      </c>
      <c r="AR21" s="126">
        <f>VLOOKUP(X21,'Tax Calc'!$B$5:$H$16,7,TRUE)</f>
        <v>0</v>
      </c>
      <c r="AS21" s="126">
        <f t="shared" si="5"/>
        <v>0</v>
      </c>
    </row>
    <row r="22" spans="2:45">
      <c r="B22" s="111">
        <v>18</v>
      </c>
      <c r="C22" s="131" t="s">
        <v>118</v>
      </c>
      <c r="D22" s="132" t="s">
        <v>164</v>
      </c>
      <c r="E22" s="113" t="s">
        <v>141</v>
      </c>
      <c r="F22" s="113" t="s">
        <v>91</v>
      </c>
      <c r="G22" s="138">
        <v>44013</v>
      </c>
      <c r="H22" s="114">
        <f>VLOOKUP($D22,'Salary Sheet'!$C$3:$AD$61,23,FALSE)</f>
        <v>4649.7</v>
      </c>
      <c r="I22" s="114">
        <f>VLOOKUP($D22,'Salary Sheet'!$C$3:$AD$61,24,FALSE)</f>
        <v>1761.25</v>
      </c>
      <c r="J22" s="114">
        <f>VLOOKUP($D22,'Salary Sheet'!$C$3:$AD$61,25,FALSE)</f>
        <v>634.04999999999995</v>
      </c>
      <c r="K22" s="117">
        <f t="shared" si="0"/>
        <v>7045</v>
      </c>
      <c r="L22" s="118"/>
      <c r="M22" s="118">
        <f t="shared" si="27"/>
        <v>0</v>
      </c>
      <c r="N22" s="118">
        <f t="shared" si="28"/>
        <v>0</v>
      </c>
      <c r="O22" s="118">
        <f t="shared" si="29"/>
        <v>0</v>
      </c>
      <c r="P22" s="118">
        <f t="shared" si="30"/>
        <v>0</v>
      </c>
      <c r="Q22" s="118">
        <f t="shared" si="31"/>
        <v>0</v>
      </c>
      <c r="R22" s="118">
        <f>VLOOKUP(D22,'Salary Sheet'!$C$3:$AG$61,28,FALSE)</f>
        <v>7045</v>
      </c>
      <c r="S22" s="118">
        <f t="shared" si="22"/>
        <v>7045</v>
      </c>
      <c r="T22" s="118">
        <f t="shared" si="23"/>
        <v>7045</v>
      </c>
      <c r="U22" s="118">
        <f t="shared" si="24"/>
        <v>7045</v>
      </c>
      <c r="V22" s="118">
        <f t="shared" si="25"/>
        <v>7045</v>
      </c>
      <c r="W22" s="118">
        <f t="shared" si="26"/>
        <v>7045</v>
      </c>
      <c r="X22" s="137">
        <f t="shared" si="15"/>
        <v>38427.272727272728</v>
      </c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>
        <f t="shared" si="16"/>
        <v>0</v>
      </c>
      <c r="AL22" s="126">
        <f>VLOOKUP(X22,'Tax Calc'!$B$5:$I$16,1,TRUE)</f>
        <v>0</v>
      </c>
      <c r="AM22" s="126">
        <f>VLOOKUP(X22,'Tax Calc'!$B$5:$I$16,2,TRUE)</f>
        <v>600000</v>
      </c>
      <c r="AN22" s="127" t="b">
        <f t="shared" si="2"/>
        <v>1</v>
      </c>
      <c r="AO22" s="126">
        <f t="shared" si="3"/>
        <v>38428.272727272728</v>
      </c>
      <c r="AP22" s="128">
        <f>VLOOKUP(X22,'Tax Calc'!$B$5:$F$16,5,TRUE)</f>
        <v>0</v>
      </c>
      <c r="AQ22" s="126">
        <f t="shared" si="33"/>
        <v>0</v>
      </c>
      <c r="AR22" s="126">
        <f>VLOOKUP(X22,'Tax Calc'!$B$5:$H$16,7,TRUE)</f>
        <v>0</v>
      </c>
      <c r="AS22" s="126">
        <f t="shared" si="5"/>
        <v>0</v>
      </c>
    </row>
    <row r="23" spans="2:45">
      <c r="B23" s="111">
        <v>19</v>
      </c>
      <c r="C23" s="131" t="s">
        <v>119</v>
      </c>
      <c r="D23" s="132">
        <v>3520248653137</v>
      </c>
      <c r="E23" s="113" t="s">
        <v>142</v>
      </c>
      <c r="F23" s="113" t="s">
        <v>91</v>
      </c>
      <c r="G23" s="138">
        <v>44012</v>
      </c>
      <c r="H23" s="114">
        <f>VLOOKUP($D23,'Salary Sheet'!$C$3:$AD$61,23,FALSE)</f>
        <v>149.16</v>
      </c>
      <c r="I23" s="114">
        <f>VLOOKUP($D23,'Salary Sheet'!$C$3:$AD$61,24,FALSE)</f>
        <v>56.499999999999993</v>
      </c>
      <c r="J23" s="114">
        <f>VLOOKUP($D23,'Salary Sheet'!$C$3:$AD$61,25,FALSE)</f>
        <v>20.339999999999996</v>
      </c>
      <c r="K23" s="117">
        <f t="shared" si="0"/>
        <v>226</v>
      </c>
      <c r="L23" s="118"/>
      <c r="M23" s="118">
        <f t="shared" si="27"/>
        <v>0</v>
      </c>
      <c r="N23" s="118">
        <f t="shared" si="28"/>
        <v>0</v>
      </c>
      <c r="O23" s="118">
        <f t="shared" si="29"/>
        <v>0</v>
      </c>
      <c r="P23" s="118">
        <f t="shared" si="30"/>
        <v>0</v>
      </c>
      <c r="Q23" s="118">
        <f t="shared" si="31"/>
        <v>0</v>
      </c>
      <c r="R23" s="118">
        <f>VLOOKUP(D23,'Salary Sheet'!$C$3:$AG$61,28,FALSE)</f>
        <v>225.99999999999997</v>
      </c>
      <c r="S23" s="118">
        <f t="shared" si="22"/>
        <v>225.99999999999997</v>
      </c>
      <c r="T23" s="118">
        <f t="shared" si="23"/>
        <v>225.99999999999997</v>
      </c>
      <c r="U23" s="118">
        <f t="shared" si="24"/>
        <v>225.99999999999997</v>
      </c>
      <c r="V23" s="118">
        <f t="shared" si="25"/>
        <v>225.99999999999997</v>
      </c>
      <c r="W23" s="118">
        <f t="shared" si="26"/>
        <v>225.99999999999997</v>
      </c>
      <c r="X23" s="137">
        <f t="shared" si="15"/>
        <v>1232.7272727272725</v>
      </c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>
        <f t="shared" si="16"/>
        <v>0</v>
      </c>
      <c r="AL23" s="126">
        <f>VLOOKUP(X23,'Tax Calc'!$B$5:$I$16,1,TRUE)</f>
        <v>0</v>
      </c>
      <c r="AM23" s="126">
        <f>VLOOKUP(X23,'Tax Calc'!$B$5:$I$16,2,TRUE)</f>
        <v>600000</v>
      </c>
      <c r="AN23" s="127" t="b">
        <f t="shared" si="2"/>
        <v>1</v>
      </c>
      <c r="AO23" s="126">
        <f t="shared" si="3"/>
        <v>1233.7272727272725</v>
      </c>
      <c r="AP23" s="128">
        <f>VLOOKUP(X23,'Tax Calc'!$B$5:$F$16,5,TRUE)</f>
        <v>0</v>
      </c>
      <c r="AQ23" s="126">
        <f t="shared" si="33"/>
        <v>0</v>
      </c>
      <c r="AR23" s="126">
        <f>VLOOKUP(X23,'Tax Calc'!$B$5:$H$16,7,TRUE)</f>
        <v>0</v>
      </c>
      <c r="AS23" s="126">
        <f t="shared" si="5"/>
        <v>0</v>
      </c>
    </row>
    <row r="24" spans="2:45">
      <c r="B24" s="111">
        <v>20</v>
      </c>
      <c r="C24" s="131" t="s">
        <v>120</v>
      </c>
      <c r="D24" s="132" t="s">
        <v>166</v>
      </c>
      <c r="E24" s="113" t="s">
        <v>141</v>
      </c>
      <c r="F24" s="113" t="s">
        <v>91</v>
      </c>
      <c r="G24" s="138">
        <v>44166</v>
      </c>
      <c r="H24" s="114">
        <f>VLOOKUP($D24,'Salary Sheet'!$C$3:$AD$61,23,FALSE)</f>
        <v>7311.4800000000005</v>
      </c>
      <c r="I24" s="114">
        <f>VLOOKUP($D24,'Salary Sheet'!$C$3:$AD$61,24,FALSE)</f>
        <v>2769.5</v>
      </c>
      <c r="J24" s="114">
        <f>VLOOKUP($D24,'Salary Sheet'!$C$3:$AD$61,25,FALSE)</f>
        <v>997.02</v>
      </c>
      <c r="K24" s="117">
        <f t="shared" si="0"/>
        <v>11078</v>
      </c>
      <c r="L24" s="118"/>
      <c r="M24" s="118">
        <f t="shared" si="27"/>
        <v>0</v>
      </c>
      <c r="N24" s="118">
        <f t="shared" si="28"/>
        <v>0</v>
      </c>
      <c r="O24" s="118">
        <f t="shared" si="29"/>
        <v>0</v>
      </c>
      <c r="P24" s="118">
        <f t="shared" si="30"/>
        <v>0</v>
      </c>
      <c r="Q24" s="118">
        <f t="shared" si="31"/>
        <v>0</v>
      </c>
      <c r="R24" s="118">
        <f>VLOOKUP(D24,'Salary Sheet'!$C$3:$AG$61,28,FALSE)</f>
        <v>11078</v>
      </c>
      <c r="S24" s="118">
        <f t="shared" si="22"/>
        <v>11078</v>
      </c>
      <c r="T24" s="118">
        <f t="shared" si="23"/>
        <v>11078</v>
      </c>
      <c r="U24" s="118">
        <f t="shared" si="24"/>
        <v>11078</v>
      </c>
      <c r="V24" s="118">
        <f t="shared" si="25"/>
        <v>11078</v>
      </c>
      <c r="W24" s="118">
        <f t="shared" si="26"/>
        <v>11078</v>
      </c>
      <c r="X24" s="137">
        <f t="shared" si="15"/>
        <v>60425.454545454544</v>
      </c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>
        <f t="shared" si="16"/>
        <v>0</v>
      </c>
      <c r="AL24" s="126">
        <f>VLOOKUP(X24,'Tax Calc'!$B$5:$I$16,1,TRUE)</f>
        <v>0</v>
      </c>
      <c r="AM24" s="126">
        <f>VLOOKUP(X24,'Tax Calc'!$B$5:$I$16,2,TRUE)</f>
        <v>600000</v>
      </c>
      <c r="AN24" s="127" t="b">
        <f t="shared" si="2"/>
        <v>1</v>
      </c>
      <c r="AO24" s="126">
        <f t="shared" si="3"/>
        <v>60426.454545454544</v>
      </c>
      <c r="AP24" s="128">
        <f>VLOOKUP(X24,'Tax Calc'!$B$5:$F$16,5,TRUE)</f>
        <v>0</v>
      </c>
      <c r="AQ24" s="126">
        <f t="shared" si="33"/>
        <v>0</v>
      </c>
      <c r="AR24" s="126">
        <f>VLOOKUP(X24,'Tax Calc'!$B$5:$H$16,7,TRUE)</f>
        <v>0</v>
      </c>
      <c r="AS24" s="126">
        <f t="shared" si="5"/>
        <v>0</v>
      </c>
    </row>
    <row r="25" spans="2:45">
      <c r="B25" s="111">
        <v>21</v>
      </c>
      <c r="C25" s="131" t="s">
        <v>121</v>
      </c>
      <c r="D25" s="132" t="s">
        <v>167</v>
      </c>
      <c r="E25" s="113" t="s">
        <v>142</v>
      </c>
      <c r="F25" s="113" t="s">
        <v>91</v>
      </c>
      <c r="G25" s="138">
        <v>44452</v>
      </c>
      <c r="H25" s="114">
        <f>VLOOKUP($D25,'Salary Sheet'!$C$3:$AD$61,23,FALSE)</f>
        <v>19800</v>
      </c>
      <c r="I25" s="114">
        <f>VLOOKUP($D25,'Salary Sheet'!$C$3:$AD$61,24,FALSE)</f>
        <v>7500</v>
      </c>
      <c r="J25" s="114">
        <f>VLOOKUP($D25,'Salary Sheet'!$C$3:$AD$61,25,FALSE)</f>
        <v>2700</v>
      </c>
      <c r="K25" s="117">
        <f t="shared" si="0"/>
        <v>30000</v>
      </c>
      <c r="L25" s="118">
        <v>0</v>
      </c>
      <c r="M25" s="118">
        <f t="shared" si="27"/>
        <v>0</v>
      </c>
      <c r="N25" s="118">
        <v>30000</v>
      </c>
      <c r="O25" s="118">
        <f t="shared" si="29"/>
        <v>30000</v>
      </c>
      <c r="P25" s="118">
        <f t="shared" si="30"/>
        <v>30000</v>
      </c>
      <c r="Q25" s="118">
        <f t="shared" si="31"/>
        <v>30000</v>
      </c>
      <c r="R25" s="118">
        <f>VLOOKUP(D25,'Salary Sheet'!$C$3:$AG$61,28,FALSE)</f>
        <v>30000</v>
      </c>
      <c r="S25" s="118">
        <f t="shared" si="22"/>
        <v>30000</v>
      </c>
      <c r="T25" s="118">
        <f t="shared" si="23"/>
        <v>30000</v>
      </c>
      <c r="U25" s="118">
        <f t="shared" si="24"/>
        <v>30000</v>
      </c>
      <c r="V25" s="118">
        <f t="shared" si="25"/>
        <v>30000</v>
      </c>
      <c r="W25" s="118">
        <f t="shared" si="26"/>
        <v>30000</v>
      </c>
      <c r="X25" s="137">
        <f t="shared" si="15"/>
        <v>272727.27272727276</v>
      </c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>
        <f t="shared" si="16"/>
        <v>0</v>
      </c>
      <c r="AL25" s="126">
        <f>VLOOKUP(X25,'Tax Calc'!$B$5:$I$16,1,TRUE)</f>
        <v>0</v>
      </c>
      <c r="AM25" s="126">
        <f>VLOOKUP(X25,'Tax Calc'!$B$5:$I$16,2,TRUE)</f>
        <v>600000</v>
      </c>
      <c r="AN25" s="127" t="b">
        <f t="shared" si="2"/>
        <v>1</v>
      </c>
      <c r="AO25" s="126">
        <f t="shared" si="3"/>
        <v>272728.27272727276</v>
      </c>
      <c r="AP25" s="128">
        <f>VLOOKUP(X25,'Tax Calc'!$B$5:$F$16,5,TRUE)</f>
        <v>0</v>
      </c>
      <c r="AQ25" s="126">
        <f t="shared" si="33"/>
        <v>0</v>
      </c>
      <c r="AR25" s="126">
        <f>VLOOKUP(X25,'Tax Calc'!$B$5:$H$16,7,TRUE)</f>
        <v>0</v>
      </c>
      <c r="AS25" s="126">
        <f t="shared" si="5"/>
        <v>0</v>
      </c>
    </row>
    <row r="26" spans="2:45">
      <c r="B26" s="111">
        <v>22</v>
      </c>
      <c r="C26" s="131" t="s">
        <v>129</v>
      </c>
      <c r="D26" s="132" t="s">
        <v>168</v>
      </c>
      <c r="E26" s="113" t="s">
        <v>139</v>
      </c>
      <c r="F26" s="113" t="s">
        <v>91</v>
      </c>
      <c r="G26" s="138">
        <v>44447</v>
      </c>
      <c r="H26" s="114" t="e">
        <f>VLOOKUP($D26,'Salary Sheet'!$C$3:$AD$61,23,FALSE)</f>
        <v>#N/A</v>
      </c>
      <c r="I26" s="114" t="e">
        <f>VLOOKUP($D26,'Salary Sheet'!$C$3:$AD$61,24,FALSE)</f>
        <v>#N/A</v>
      </c>
      <c r="J26" s="114" t="e">
        <f>VLOOKUP($D26,'Salary Sheet'!$C$3:$AD$61,25,FALSE)</f>
        <v>#N/A</v>
      </c>
      <c r="K26" s="117" t="e">
        <f t="shared" si="0"/>
        <v>#N/A</v>
      </c>
      <c r="L26" s="118">
        <v>0</v>
      </c>
      <c r="M26" s="118">
        <f t="shared" si="27"/>
        <v>0</v>
      </c>
      <c r="N26" s="118">
        <v>25000</v>
      </c>
      <c r="O26" s="118">
        <f t="shared" si="29"/>
        <v>25000</v>
      </c>
      <c r="P26" s="118">
        <f t="shared" si="30"/>
        <v>25000</v>
      </c>
      <c r="Q26" s="118">
        <f t="shared" si="31"/>
        <v>25000</v>
      </c>
      <c r="R26" s="118" t="e">
        <f>VLOOKUP(D26,'Salary Sheet'!$C$3:$AG$61,28,FALSE)</f>
        <v>#N/A</v>
      </c>
      <c r="S26" s="118" t="e">
        <f t="shared" si="22"/>
        <v>#N/A</v>
      </c>
      <c r="T26" s="118" t="e">
        <f t="shared" si="23"/>
        <v>#N/A</v>
      </c>
      <c r="U26" s="118" t="e">
        <f t="shared" si="24"/>
        <v>#N/A</v>
      </c>
      <c r="V26" s="118" t="e">
        <f t="shared" si="25"/>
        <v>#N/A</v>
      </c>
      <c r="W26" s="118" t="e">
        <f t="shared" si="26"/>
        <v>#N/A</v>
      </c>
      <c r="X26" s="137" t="e">
        <f t="shared" si="15"/>
        <v>#N/A</v>
      </c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>
        <f t="shared" si="16"/>
        <v>0</v>
      </c>
      <c r="AL26" s="126" t="e">
        <f>VLOOKUP(X26,'Tax Calc'!$B$5:$I$16,1,TRUE)</f>
        <v>#N/A</v>
      </c>
      <c r="AM26" s="126" t="e">
        <f>VLOOKUP(X26,'Tax Calc'!$B$5:$I$16,2,TRUE)</f>
        <v>#N/A</v>
      </c>
      <c r="AN26" s="127" t="e">
        <f t="shared" si="2"/>
        <v>#N/A</v>
      </c>
      <c r="AO26" s="126" t="e">
        <f t="shared" si="3"/>
        <v>#N/A</v>
      </c>
      <c r="AP26" s="128" t="e">
        <f>VLOOKUP(X26,'Tax Calc'!$B$5:$F$16,5,TRUE)</f>
        <v>#N/A</v>
      </c>
      <c r="AQ26" s="126" t="e">
        <f t="shared" si="33"/>
        <v>#N/A</v>
      </c>
      <c r="AR26" s="126" t="e">
        <f>VLOOKUP(X26,'Tax Calc'!$B$5:$H$16,7,TRUE)</f>
        <v>#N/A</v>
      </c>
      <c r="AS26" s="126" t="e">
        <f t="shared" si="5"/>
        <v>#N/A</v>
      </c>
    </row>
    <row r="27" spans="2:45">
      <c r="B27" s="111">
        <v>23</v>
      </c>
      <c r="C27" s="131" t="s">
        <v>122</v>
      </c>
      <c r="D27" s="132" t="s">
        <v>169</v>
      </c>
      <c r="E27" s="113" t="s">
        <v>141</v>
      </c>
      <c r="F27" s="113" t="s">
        <v>91</v>
      </c>
      <c r="G27" s="138">
        <v>44502</v>
      </c>
      <c r="H27" s="114">
        <f>VLOOKUP($D27,'Salary Sheet'!$C$3:$AD$61,23,FALSE)</f>
        <v>19800</v>
      </c>
      <c r="I27" s="114">
        <f>VLOOKUP($D27,'Salary Sheet'!$C$3:$AD$61,24,FALSE)</f>
        <v>7500</v>
      </c>
      <c r="J27" s="114">
        <f>VLOOKUP($D27,'Salary Sheet'!$C$3:$AD$61,25,FALSE)</f>
        <v>2700</v>
      </c>
      <c r="K27" s="117">
        <f t="shared" si="0"/>
        <v>30000</v>
      </c>
      <c r="L27" s="118"/>
      <c r="M27" s="118">
        <f t="shared" si="27"/>
        <v>0</v>
      </c>
      <c r="N27" s="118">
        <f t="shared" si="28"/>
        <v>0</v>
      </c>
      <c r="O27" s="118">
        <f t="shared" si="29"/>
        <v>0</v>
      </c>
      <c r="P27" s="118">
        <v>15000</v>
      </c>
      <c r="Q27" s="118">
        <v>15000</v>
      </c>
      <c r="R27" s="118">
        <f>VLOOKUP(D27,'Salary Sheet'!$C$3:$AG$61,28,FALSE)</f>
        <v>30000</v>
      </c>
      <c r="S27" s="118">
        <f t="shared" si="22"/>
        <v>30000</v>
      </c>
      <c r="T27" s="118">
        <f t="shared" si="23"/>
        <v>30000</v>
      </c>
      <c r="U27" s="118">
        <f t="shared" si="24"/>
        <v>30000</v>
      </c>
      <c r="V27" s="118">
        <f t="shared" si="25"/>
        <v>30000</v>
      </c>
      <c r="W27" s="118">
        <f t="shared" si="26"/>
        <v>30000</v>
      </c>
      <c r="X27" s="137">
        <f t="shared" si="15"/>
        <v>190909.09090909091</v>
      </c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>
        <f t="shared" si="16"/>
        <v>0</v>
      </c>
      <c r="AL27" s="126">
        <f>VLOOKUP(X27,'Tax Calc'!$B$5:$I$16,1,TRUE)</f>
        <v>0</v>
      </c>
      <c r="AM27" s="126">
        <f>VLOOKUP(X27,'Tax Calc'!$B$5:$I$16,2,TRUE)</f>
        <v>600000</v>
      </c>
      <c r="AN27" s="127" t="b">
        <f t="shared" si="2"/>
        <v>1</v>
      </c>
      <c r="AO27" s="126">
        <f t="shared" si="3"/>
        <v>190910.09090909091</v>
      </c>
      <c r="AP27" s="128">
        <f>VLOOKUP(X27,'Tax Calc'!$B$5:$F$16,5,TRUE)</f>
        <v>0</v>
      </c>
      <c r="AQ27" s="126">
        <f t="shared" si="33"/>
        <v>0</v>
      </c>
      <c r="AR27" s="126">
        <f>VLOOKUP(X27,'Tax Calc'!$B$5:$H$16,7,TRUE)</f>
        <v>0</v>
      </c>
      <c r="AS27" s="126">
        <f t="shared" si="5"/>
        <v>0</v>
      </c>
    </row>
    <row r="28" spans="2:45">
      <c r="B28" s="111">
        <v>24</v>
      </c>
      <c r="C28" s="131" t="s">
        <v>100</v>
      </c>
      <c r="D28" s="132" t="s">
        <v>171</v>
      </c>
      <c r="E28" s="113" t="s">
        <v>141</v>
      </c>
      <c r="F28" s="113" t="s">
        <v>91</v>
      </c>
      <c r="G28" s="138">
        <v>44501</v>
      </c>
      <c r="H28" s="114">
        <f>VLOOKUP($D28,'Salary Sheet'!$C$3:$AD$61,23,FALSE)</f>
        <v>19800</v>
      </c>
      <c r="I28" s="114">
        <f>VLOOKUP($D28,'Salary Sheet'!$C$3:$AD$61,24,FALSE)</f>
        <v>7500</v>
      </c>
      <c r="J28" s="114">
        <f>VLOOKUP($D28,'Salary Sheet'!$C$3:$AD$61,25,FALSE)</f>
        <v>2700</v>
      </c>
      <c r="K28" s="117">
        <f t="shared" si="0"/>
        <v>30000</v>
      </c>
      <c r="L28" s="118">
        <v>0</v>
      </c>
      <c r="M28" s="118">
        <f t="shared" si="27"/>
        <v>0</v>
      </c>
      <c r="N28" s="118">
        <f t="shared" si="28"/>
        <v>0</v>
      </c>
      <c r="O28" s="118">
        <f t="shared" si="29"/>
        <v>0</v>
      </c>
      <c r="P28" s="118">
        <v>25000</v>
      </c>
      <c r="Q28" s="118">
        <f t="shared" si="31"/>
        <v>25000</v>
      </c>
      <c r="R28" s="118">
        <f>VLOOKUP(D28,'Salary Sheet'!$C$3:$AG$61,28,FALSE)</f>
        <v>30000</v>
      </c>
      <c r="S28" s="118">
        <f t="shared" si="22"/>
        <v>30000</v>
      </c>
      <c r="T28" s="118">
        <f t="shared" si="23"/>
        <v>30000</v>
      </c>
      <c r="U28" s="118">
        <f t="shared" si="24"/>
        <v>30000</v>
      </c>
      <c r="V28" s="118">
        <f t="shared" si="25"/>
        <v>30000</v>
      </c>
      <c r="W28" s="118">
        <f t="shared" si="26"/>
        <v>30000</v>
      </c>
      <c r="X28" s="137">
        <f t="shared" si="15"/>
        <v>209090.90909090909</v>
      </c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>
        <f t="shared" si="16"/>
        <v>0</v>
      </c>
      <c r="AL28" s="126">
        <f>VLOOKUP(X28,'Tax Calc'!$B$5:$I$16,1,TRUE)</f>
        <v>0</v>
      </c>
      <c r="AM28" s="126">
        <f>VLOOKUP(X28,'Tax Calc'!$B$5:$I$16,2,TRUE)</f>
        <v>600000</v>
      </c>
      <c r="AN28" s="127" t="b">
        <f t="shared" si="2"/>
        <v>1</v>
      </c>
      <c r="AO28" s="126">
        <f t="shared" si="3"/>
        <v>209091.90909090909</v>
      </c>
      <c r="AP28" s="128">
        <f>VLOOKUP(X28,'Tax Calc'!$B$5:$F$16,5,TRUE)</f>
        <v>0</v>
      </c>
      <c r="AQ28" s="126">
        <f t="shared" si="33"/>
        <v>0</v>
      </c>
      <c r="AR28" s="126">
        <f>VLOOKUP(X28,'Tax Calc'!$B$5:$H$16,7,TRUE)</f>
        <v>0</v>
      </c>
      <c r="AS28" s="126">
        <f t="shared" si="5"/>
        <v>0</v>
      </c>
    </row>
    <row r="29" spans="2:45">
      <c r="B29" s="111">
        <v>25</v>
      </c>
      <c r="C29" s="131" t="s">
        <v>101</v>
      </c>
      <c r="D29" s="132"/>
      <c r="E29" s="113" t="s">
        <v>141</v>
      </c>
      <c r="F29" s="113" t="s">
        <v>91</v>
      </c>
      <c r="G29" s="138"/>
      <c r="H29" s="114"/>
      <c r="I29" s="114"/>
      <c r="J29" s="114"/>
      <c r="K29" s="117"/>
      <c r="L29" s="118"/>
      <c r="M29" s="118">
        <f t="shared" si="27"/>
        <v>0</v>
      </c>
      <c r="N29" s="118">
        <f t="shared" si="28"/>
        <v>0</v>
      </c>
      <c r="O29" s="118">
        <f t="shared" si="29"/>
        <v>0</v>
      </c>
      <c r="P29" s="118">
        <f t="shared" si="30"/>
        <v>0</v>
      </c>
      <c r="Q29" s="118">
        <f t="shared" si="31"/>
        <v>0</v>
      </c>
      <c r="R29" s="118"/>
      <c r="S29" s="118"/>
      <c r="T29" s="118"/>
      <c r="U29" s="118"/>
      <c r="V29" s="118"/>
      <c r="W29" s="118"/>
      <c r="X29" s="137">
        <f t="shared" si="15"/>
        <v>0</v>
      </c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>
        <f t="shared" si="16"/>
        <v>0</v>
      </c>
      <c r="AL29" s="126">
        <f>VLOOKUP(X29,'Tax Calc'!$B$5:$I$16,1,TRUE)</f>
        <v>0</v>
      </c>
      <c r="AM29" s="126">
        <f>VLOOKUP(X29,'Tax Calc'!$B$5:$I$16,2,TRUE)</f>
        <v>600000</v>
      </c>
      <c r="AN29" s="127" t="b">
        <f t="shared" si="2"/>
        <v>1</v>
      </c>
      <c r="AO29" s="126">
        <f t="shared" si="3"/>
        <v>1</v>
      </c>
      <c r="AP29" s="128">
        <f>VLOOKUP(X29,'Tax Calc'!$B$5:$F$16,5,TRUE)</f>
        <v>0</v>
      </c>
      <c r="AQ29" s="126">
        <f t="shared" si="33"/>
        <v>0</v>
      </c>
      <c r="AR29" s="126">
        <f>VLOOKUP(X29,'Tax Calc'!$B$5:$H$16,7,TRUE)</f>
        <v>0</v>
      </c>
      <c r="AS29" s="126">
        <f t="shared" si="5"/>
        <v>0</v>
      </c>
    </row>
    <row r="30" spans="2:45">
      <c r="B30" s="111">
        <v>26</v>
      </c>
      <c r="C30" s="131" t="s">
        <v>123</v>
      </c>
      <c r="D30" s="132" t="s">
        <v>172</v>
      </c>
      <c r="E30" s="113" t="s">
        <v>141</v>
      </c>
      <c r="F30" s="113" t="s">
        <v>91</v>
      </c>
      <c r="G30" s="138">
        <v>44552</v>
      </c>
      <c r="H30" s="114"/>
      <c r="I30" s="114"/>
      <c r="J30" s="114"/>
      <c r="K30" s="117">
        <f t="shared" si="0"/>
        <v>0</v>
      </c>
      <c r="L30" s="118"/>
      <c r="M30" s="118">
        <f t="shared" si="27"/>
        <v>0</v>
      </c>
      <c r="N30" s="118">
        <f t="shared" si="28"/>
        <v>0</v>
      </c>
      <c r="O30" s="118">
        <f t="shared" si="29"/>
        <v>0</v>
      </c>
      <c r="P30" s="118">
        <f t="shared" si="30"/>
        <v>0</v>
      </c>
      <c r="Q30" s="118">
        <f t="shared" si="31"/>
        <v>0</v>
      </c>
      <c r="R30" s="118" t="e">
        <f>VLOOKUP(D30,'Salary Sheet'!$C$3:$AG$61,28,FALSE)</f>
        <v>#N/A</v>
      </c>
      <c r="S30" s="118"/>
      <c r="T30" s="118"/>
      <c r="U30" s="118"/>
      <c r="V30" s="118"/>
      <c r="W30" s="118"/>
      <c r="X30" s="137" t="e">
        <f t="shared" si="15"/>
        <v>#N/A</v>
      </c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>
        <f t="shared" si="16"/>
        <v>0</v>
      </c>
      <c r="AL30" s="126" t="e">
        <f>VLOOKUP(X30,'Tax Calc'!$B$5:$I$16,1,TRUE)</f>
        <v>#N/A</v>
      </c>
      <c r="AM30" s="126" t="e">
        <f>VLOOKUP(X30,'Tax Calc'!$B$5:$I$16,2,TRUE)</f>
        <v>#N/A</v>
      </c>
      <c r="AN30" s="127" t="e">
        <f t="shared" si="2"/>
        <v>#N/A</v>
      </c>
      <c r="AO30" s="126" t="e">
        <f t="shared" si="3"/>
        <v>#N/A</v>
      </c>
      <c r="AP30" s="128" t="e">
        <f>VLOOKUP(X30,'Tax Calc'!$B$5:$F$16,5,TRUE)</f>
        <v>#N/A</v>
      </c>
      <c r="AQ30" s="126" t="e">
        <f t="shared" ref="AQ30:AQ32" si="34">IF(AN30,AO30*AP30)</f>
        <v>#N/A</v>
      </c>
      <c r="AR30" s="126" t="e">
        <f>VLOOKUP(X30,'Tax Calc'!$B$5:$H$16,7,TRUE)</f>
        <v>#N/A</v>
      </c>
      <c r="AS30" s="126" t="e">
        <f t="shared" si="5"/>
        <v>#N/A</v>
      </c>
    </row>
    <row r="31" spans="2:45">
      <c r="B31" s="111">
        <v>27</v>
      </c>
      <c r="C31" s="131" t="s">
        <v>102</v>
      </c>
      <c r="D31" s="132"/>
      <c r="E31" s="113" t="s">
        <v>139</v>
      </c>
      <c r="F31" s="113" t="s">
        <v>91</v>
      </c>
      <c r="G31" s="138"/>
      <c r="H31" s="114"/>
      <c r="I31" s="114"/>
      <c r="J31" s="114"/>
      <c r="K31" s="117"/>
      <c r="L31" s="118"/>
      <c r="M31" s="118">
        <f t="shared" si="27"/>
        <v>0</v>
      </c>
      <c r="N31" s="118">
        <f t="shared" si="28"/>
        <v>0</v>
      </c>
      <c r="O31" s="118">
        <f t="shared" si="29"/>
        <v>0</v>
      </c>
      <c r="P31" s="118">
        <f t="shared" si="30"/>
        <v>0</v>
      </c>
      <c r="Q31" s="118">
        <f t="shared" si="31"/>
        <v>0</v>
      </c>
      <c r="R31" s="118"/>
      <c r="S31" s="118"/>
      <c r="T31" s="118"/>
      <c r="U31" s="118"/>
      <c r="V31" s="118"/>
      <c r="W31" s="118"/>
      <c r="X31" s="137">
        <f t="shared" si="15"/>
        <v>0</v>
      </c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>
        <f t="shared" si="16"/>
        <v>0</v>
      </c>
      <c r="AL31" s="126">
        <f>VLOOKUP(X31,'Tax Calc'!$B$5:$I$16,1,TRUE)</f>
        <v>0</v>
      </c>
      <c r="AM31" s="126">
        <f>VLOOKUP(X31,'Tax Calc'!$B$5:$I$16,2,TRUE)</f>
        <v>600000</v>
      </c>
      <c r="AN31" s="127" t="b">
        <f t="shared" si="2"/>
        <v>1</v>
      </c>
      <c r="AO31" s="126">
        <f t="shared" si="3"/>
        <v>1</v>
      </c>
      <c r="AP31" s="128">
        <f>VLOOKUP(X31,'Tax Calc'!$B$5:$F$16,5,TRUE)</f>
        <v>0</v>
      </c>
      <c r="AQ31" s="126">
        <f t="shared" si="34"/>
        <v>0</v>
      </c>
      <c r="AR31" s="126">
        <f>VLOOKUP(X31,'Tax Calc'!$B$5:$H$16,7,TRUE)</f>
        <v>0</v>
      </c>
      <c r="AS31" s="126">
        <f t="shared" si="5"/>
        <v>0</v>
      </c>
    </row>
    <row r="32" spans="2:45">
      <c r="B32" s="111">
        <v>28</v>
      </c>
      <c r="C32" s="131" t="s">
        <v>103</v>
      </c>
      <c r="D32" s="132" t="s">
        <v>173</v>
      </c>
      <c r="E32" s="113" t="s">
        <v>139</v>
      </c>
      <c r="F32" s="113" t="s">
        <v>91</v>
      </c>
      <c r="G32" s="138">
        <v>44432</v>
      </c>
      <c r="H32" s="114" t="e">
        <f>VLOOKUP($D32,'Salary Sheet'!$C$3:$AD$61,23,FALSE)</f>
        <v>#N/A</v>
      </c>
      <c r="I32" s="114" t="e">
        <f>VLOOKUP($D32,'Salary Sheet'!$C$3:$AD$61,24,FALSE)</f>
        <v>#N/A</v>
      </c>
      <c r="J32" s="114" t="e">
        <f>VLOOKUP($D32,'Salary Sheet'!$C$3:$AD$61,25,FALSE)</f>
        <v>#N/A</v>
      </c>
      <c r="K32" s="117" t="e">
        <f t="shared" si="0"/>
        <v>#N/A</v>
      </c>
      <c r="L32" s="118">
        <v>0</v>
      </c>
      <c r="M32" s="118">
        <v>5500</v>
      </c>
      <c r="N32" s="118">
        <f t="shared" si="28"/>
        <v>5500</v>
      </c>
      <c r="O32" s="118">
        <f t="shared" si="29"/>
        <v>5500</v>
      </c>
      <c r="P32" s="118">
        <f t="shared" si="30"/>
        <v>5500</v>
      </c>
      <c r="Q32" s="118">
        <f t="shared" si="31"/>
        <v>5500</v>
      </c>
      <c r="R32" s="118" t="e">
        <f>VLOOKUP(D32,'Salary Sheet'!$C$3:$AG$61,28,FALSE)</f>
        <v>#N/A</v>
      </c>
      <c r="S32" s="118" t="e">
        <f t="shared" si="22"/>
        <v>#N/A</v>
      </c>
      <c r="T32" s="118" t="e">
        <f t="shared" si="23"/>
        <v>#N/A</v>
      </c>
      <c r="U32" s="118" t="e">
        <f t="shared" si="24"/>
        <v>#N/A</v>
      </c>
      <c r="V32" s="118" t="e">
        <f t="shared" si="25"/>
        <v>#N/A</v>
      </c>
      <c r="W32" s="118" t="e">
        <f t="shared" si="26"/>
        <v>#N/A</v>
      </c>
      <c r="X32" s="137" t="e">
        <f t="shared" si="15"/>
        <v>#N/A</v>
      </c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>
        <f t="shared" si="16"/>
        <v>0</v>
      </c>
      <c r="AL32" s="126" t="e">
        <f>VLOOKUP(X32,'Tax Calc'!$B$5:$I$16,1,TRUE)</f>
        <v>#N/A</v>
      </c>
      <c r="AM32" s="126" t="e">
        <f>VLOOKUP(X32,'Tax Calc'!$B$5:$I$16,2,TRUE)</f>
        <v>#N/A</v>
      </c>
      <c r="AN32" s="127" t="e">
        <f t="shared" si="2"/>
        <v>#N/A</v>
      </c>
      <c r="AO32" s="126" t="e">
        <f t="shared" si="3"/>
        <v>#N/A</v>
      </c>
      <c r="AP32" s="128" t="e">
        <f>VLOOKUP(X32,'Tax Calc'!$B$5:$F$16,5,TRUE)</f>
        <v>#N/A</v>
      </c>
      <c r="AQ32" s="126" t="e">
        <f t="shared" si="34"/>
        <v>#N/A</v>
      </c>
      <c r="AR32" s="126" t="e">
        <f>VLOOKUP(X32,'Tax Calc'!$B$5:$H$16,7,TRUE)</f>
        <v>#N/A</v>
      </c>
      <c r="AS32" s="126" t="e">
        <f t="shared" si="5"/>
        <v>#N/A</v>
      </c>
    </row>
    <row r="33" spans="2:45">
      <c r="B33" s="111">
        <v>29</v>
      </c>
      <c r="C33" s="131" t="s">
        <v>124</v>
      </c>
      <c r="D33" s="132" t="s">
        <v>175</v>
      </c>
      <c r="E33" s="113" t="s">
        <v>139</v>
      </c>
      <c r="F33" s="113" t="s">
        <v>91</v>
      </c>
      <c r="G33" s="138">
        <v>44564</v>
      </c>
      <c r="H33" s="114">
        <f>VLOOKUP($D33,'Salary Sheet'!$C$3:$AD$61,23,FALSE)</f>
        <v>19800</v>
      </c>
      <c r="I33" s="114">
        <f>VLOOKUP($D33,'Salary Sheet'!$C$3:$AD$61,24,FALSE)</f>
        <v>7500</v>
      </c>
      <c r="J33" s="114">
        <f>VLOOKUP($D33,'Salary Sheet'!$C$3:$AD$61,25,FALSE)</f>
        <v>2700</v>
      </c>
      <c r="K33" s="117">
        <f t="shared" si="0"/>
        <v>30000</v>
      </c>
      <c r="L33" s="118">
        <v>0</v>
      </c>
      <c r="M33" s="118">
        <f t="shared" si="27"/>
        <v>0</v>
      </c>
      <c r="N33" s="118">
        <f t="shared" si="28"/>
        <v>0</v>
      </c>
      <c r="O33" s="118">
        <f t="shared" si="29"/>
        <v>0</v>
      </c>
      <c r="P33" s="118">
        <f t="shared" si="30"/>
        <v>0</v>
      </c>
      <c r="Q33" s="118">
        <f t="shared" si="31"/>
        <v>0</v>
      </c>
      <c r="R33" s="118">
        <f>VLOOKUP(D33,'Salary Sheet'!$C$3:$AG$61,28,FALSE)</f>
        <v>30000</v>
      </c>
      <c r="S33" s="118">
        <f t="shared" si="22"/>
        <v>30000</v>
      </c>
      <c r="T33" s="118">
        <f t="shared" si="23"/>
        <v>30000</v>
      </c>
      <c r="U33" s="118">
        <f t="shared" si="24"/>
        <v>30000</v>
      </c>
      <c r="V33" s="118">
        <f t="shared" si="25"/>
        <v>30000</v>
      </c>
      <c r="W33" s="118">
        <f t="shared" si="26"/>
        <v>30000</v>
      </c>
      <c r="X33" s="137">
        <f t="shared" si="15"/>
        <v>163636.36363636362</v>
      </c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>
        <f t="shared" si="16"/>
        <v>0</v>
      </c>
      <c r="AL33" s="126">
        <f>VLOOKUP(X33,'Tax Calc'!$B$5:$I$16,1,TRUE)</f>
        <v>0</v>
      </c>
      <c r="AM33" s="126">
        <f>VLOOKUP(X33,'Tax Calc'!$B$5:$I$16,2,TRUE)</f>
        <v>600000</v>
      </c>
      <c r="AN33" s="127" t="b">
        <f t="shared" si="2"/>
        <v>1</v>
      </c>
      <c r="AO33" s="126">
        <f t="shared" si="3"/>
        <v>163637.36363636362</v>
      </c>
      <c r="AP33" s="128">
        <f>VLOOKUP(X33,'Tax Calc'!$B$5:$F$16,5,TRUE)</f>
        <v>0</v>
      </c>
      <c r="AQ33" s="126">
        <f t="shared" ref="AQ33:AQ34" si="35">IF(AN33,AO33*AP33)</f>
        <v>0</v>
      </c>
      <c r="AR33" s="126">
        <f>VLOOKUP(X33,'Tax Calc'!$B$5:$H$16,7,TRUE)</f>
        <v>0</v>
      </c>
      <c r="AS33" s="126">
        <f t="shared" si="5"/>
        <v>0</v>
      </c>
    </row>
    <row r="34" spans="2:45">
      <c r="B34" s="111">
        <v>30</v>
      </c>
      <c r="C34" s="131" t="s">
        <v>104</v>
      </c>
      <c r="D34" s="132" t="s">
        <v>176</v>
      </c>
      <c r="E34" s="113" t="s">
        <v>141</v>
      </c>
      <c r="F34" s="113" t="s">
        <v>91</v>
      </c>
      <c r="G34" s="138">
        <v>44564</v>
      </c>
      <c r="H34" s="114">
        <f>VLOOKUP($D34,'Salary Sheet'!$C$3:$AD$61,23,FALSE)</f>
        <v>19800</v>
      </c>
      <c r="I34" s="114">
        <f>VLOOKUP($D34,'Salary Sheet'!$C$3:$AD$61,24,FALSE)</f>
        <v>7500</v>
      </c>
      <c r="J34" s="114">
        <f>VLOOKUP($D34,'Salary Sheet'!$C$3:$AD$61,25,FALSE)</f>
        <v>2700</v>
      </c>
      <c r="K34" s="117">
        <f t="shared" si="0"/>
        <v>30000</v>
      </c>
      <c r="L34" s="118">
        <v>0</v>
      </c>
      <c r="M34" s="118">
        <f t="shared" si="27"/>
        <v>0</v>
      </c>
      <c r="N34" s="118">
        <f t="shared" si="28"/>
        <v>0</v>
      </c>
      <c r="O34" s="118">
        <f t="shared" si="29"/>
        <v>0</v>
      </c>
      <c r="P34" s="118">
        <f t="shared" si="30"/>
        <v>0</v>
      </c>
      <c r="Q34" s="118">
        <f t="shared" si="31"/>
        <v>0</v>
      </c>
      <c r="R34" s="118">
        <f>VLOOKUP(D34,'Salary Sheet'!$C$3:$AG$61,28,FALSE)</f>
        <v>30000</v>
      </c>
      <c r="S34" s="118">
        <f t="shared" si="22"/>
        <v>30000</v>
      </c>
      <c r="T34" s="118">
        <f t="shared" si="23"/>
        <v>30000</v>
      </c>
      <c r="U34" s="118">
        <f t="shared" si="24"/>
        <v>30000</v>
      </c>
      <c r="V34" s="118">
        <f t="shared" si="25"/>
        <v>30000</v>
      </c>
      <c r="W34" s="118">
        <f t="shared" si="26"/>
        <v>30000</v>
      </c>
      <c r="X34" s="137">
        <f t="shared" si="15"/>
        <v>163636.36363636362</v>
      </c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>
        <f t="shared" si="16"/>
        <v>0</v>
      </c>
      <c r="AL34" s="126">
        <f>VLOOKUP(X34,'Tax Calc'!$B$5:$I$16,1,TRUE)</f>
        <v>0</v>
      </c>
      <c r="AM34" s="126">
        <f>VLOOKUP(X34,'Tax Calc'!$B$5:$I$16,2,TRUE)</f>
        <v>600000</v>
      </c>
      <c r="AN34" s="127" t="b">
        <f t="shared" si="2"/>
        <v>1</v>
      </c>
      <c r="AO34" s="126">
        <f t="shared" si="3"/>
        <v>163637.36363636362</v>
      </c>
      <c r="AP34" s="128">
        <f>VLOOKUP(X34,'Tax Calc'!$B$5:$F$16,5,TRUE)</f>
        <v>0</v>
      </c>
      <c r="AQ34" s="126">
        <f t="shared" si="35"/>
        <v>0</v>
      </c>
      <c r="AR34" s="126">
        <f>VLOOKUP(X34,'Tax Calc'!$B$5:$H$16,7,TRUE)</f>
        <v>0</v>
      </c>
      <c r="AS34" s="126">
        <f t="shared" si="5"/>
        <v>0</v>
      </c>
    </row>
    <row r="35" spans="2:45">
      <c r="B35" s="111">
        <v>31</v>
      </c>
      <c r="C35" s="131" t="s">
        <v>179</v>
      </c>
      <c r="D35" s="132" t="s">
        <v>181</v>
      </c>
      <c r="E35" s="113" t="s">
        <v>141</v>
      </c>
      <c r="F35" s="113" t="s">
        <v>91</v>
      </c>
      <c r="G35" s="138">
        <v>44578</v>
      </c>
      <c r="H35" s="114" t="e">
        <f>VLOOKUP($D35,'Salary Sheet'!$C$3:$AD$61,23,FALSE)</f>
        <v>#N/A</v>
      </c>
      <c r="I35" s="114" t="e">
        <f>VLOOKUP($D35,'Salary Sheet'!$C$3:$AD$61,24,FALSE)</f>
        <v>#N/A</v>
      </c>
      <c r="J35" s="114" t="e">
        <f>VLOOKUP($D35,'Salary Sheet'!$C$3:$AD$61,25,FALSE)</f>
        <v>#N/A</v>
      </c>
      <c r="K35" s="117" t="e">
        <f t="shared" si="0"/>
        <v>#N/A</v>
      </c>
      <c r="L35" s="118">
        <v>0</v>
      </c>
      <c r="M35" s="118">
        <f t="shared" si="27"/>
        <v>0</v>
      </c>
      <c r="N35" s="118">
        <f t="shared" si="28"/>
        <v>0</v>
      </c>
      <c r="O35" s="118">
        <f t="shared" si="29"/>
        <v>0</v>
      </c>
      <c r="P35" s="118">
        <f t="shared" si="30"/>
        <v>0</v>
      </c>
      <c r="Q35" s="118">
        <f t="shared" si="31"/>
        <v>0</v>
      </c>
      <c r="R35" s="118" t="e">
        <f>VLOOKUP(D35,'Salary Sheet'!$C$3:$AG$61,28,FALSE)</f>
        <v>#N/A</v>
      </c>
      <c r="S35" s="118" t="e">
        <f t="shared" si="22"/>
        <v>#N/A</v>
      </c>
      <c r="T35" s="118" t="e">
        <f t="shared" si="23"/>
        <v>#N/A</v>
      </c>
      <c r="U35" s="118" t="e">
        <f t="shared" si="24"/>
        <v>#N/A</v>
      </c>
      <c r="V35" s="118" t="e">
        <f t="shared" si="25"/>
        <v>#N/A</v>
      </c>
      <c r="W35" s="118" t="e">
        <f t="shared" si="26"/>
        <v>#N/A</v>
      </c>
      <c r="X35" s="137" t="e">
        <f t="shared" si="15"/>
        <v>#N/A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>
        <f t="shared" si="16"/>
        <v>0</v>
      </c>
      <c r="AL35" s="126" t="e">
        <f>VLOOKUP(X35,'Tax Calc'!$B$5:$I$16,1,TRUE)</f>
        <v>#N/A</v>
      </c>
      <c r="AM35" s="126" t="e">
        <f>VLOOKUP(X35,'Tax Calc'!$B$5:$I$16,2,TRUE)</f>
        <v>#N/A</v>
      </c>
      <c r="AN35" s="127" t="e">
        <f t="shared" si="2"/>
        <v>#N/A</v>
      </c>
      <c r="AO35" s="126" t="e">
        <f t="shared" si="3"/>
        <v>#N/A</v>
      </c>
      <c r="AP35" s="128" t="e">
        <f>VLOOKUP(X35,'Tax Calc'!$B$5:$F$16,5,TRUE)</f>
        <v>#N/A</v>
      </c>
      <c r="AQ35" s="126" t="e">
        <f t="shared" ref="AQ35:AQ36" si="36">IF(AN35,AO35*AP35)</f>
        <v>#N/A</v>
      </c>
      <c r="AR35" s="126" t="e">
        <f>VLOOKUP(X35,'Tax Calc'!$B$5:$H$16,7,TRUE)</f>
        <v>#N/A</v>
      </c>
      <c r="AS35" s="126" t="e">
        <f t="shared" si="5"/>
        <v>#N/A</v>
      </c>
    </row>
    <row r="36" spans="2:45">
      <c r="B36" s="111">
        <v>32</v>
      </c>
      <c r="C36" s="131" t="s">
        <v>180</v>
      </c>
      <c r="D36" s="132" t="s">
        <v>182</v>
      </c>
      <c r="E36" s="113" t="s">
        <v>141</v>
      </c>
      <c r="F36" s="113" t="s">
        <v>91</v>
      </c>
      <c r="G36" s="138">
        <v>44579</v>
      </c>
      <c r="H36" s="114" t="e">
        <f>VLOOKUP($D36,'Salary Sheet'!$C$3:$AD$61,23,FALSE)</f>
        <v>#N/A</v>
      </c>
      <c r="I36" s="114" t="e">
        <f>VLOOKUP($D36,'Salary Sheet'!$C$3:$AD$61,24,FALSE)</f>
        <v>#N/A</v>
      </c>
      <c r="J36" s="114" t="e">
        <f>VLOOKUP($D36,'Salary Sheet'!$C$3:$AD$61,25,FALSE)</f>
        <v>#N/A</v>
      </c>
      <c r="K36" s="117" t="e">
        <f t="shared" si="0"/>
        <v>#N/A</v>
      </c>
      <c r="L36" s="118">
        <v>0</v>
      </c>
      <c r="M36" s="118">
        <f t="shared" si="27"/>
        <v>0</v>
      </c>
      <c r="N36" s="118">
        <f t="shared" si="28"/>
        <v>0</v>
      </c>
      <c r="O36" s="118">
        <f t="shared" si="29"/>
        <v>0</v>
      </c>
      <c r="P36" s="118">
        <f t="shared" si="30"/>
        <v>0</v>
      </c>
      <c r="Q36" s="118">
        <f t="shared" si="31"/>
        <v>0</v>
      </c>
      <c r="R36" s="118" t="e">
        <f>VLOOKUP(D36,'Salary Sheet'!$C$3:$AG$61,28,FALSE)</f>
        <v>#N/A</v>
      </c>
      <c r="S36" s="118" t="e">
        <f t="shared" si="22"/>
        <v>#N/A</v>
      </c>
      <c r="T36" s="118" t="e">
        <f t="shared" si="23"/>
        <v>#N/A</v>
      </c>
      <c r="U36" s="118" t="e">
        <f t="shared" si="24"/>
        <v>#N/A</v>
      </c>
      <c r="V36" s="118" t="e">
        <f t="shared" si="25"/>
        <v>#N/A</v>
      </c>
      <c r="W36" s="118" t="e">
        <f t="shared" si="26"/>
        <v>#N/A</v>
      </c>
      <c r="X36" s="137" t="e">
        <f t="shared" si="15"/>
        <v>#N/A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>
        <f t="shared" si="16"/>
        <v>0</v>
      </c>
      <c r="AL36" s="126" t="e">
        <f>VLOOKUP(X36,'Tax Calc'!$B$5:$I$16,1,TRUE)</f>
        <v>#N/A</v>
      </c>
      <c r="AM36" s="126" t="e">
        <f>VLOOKUP(X36,'Tax Calc'!$B$5:$I$16,2,TRUE)</f>
        <v>#N/A</v>
      </c>
      <c r="AN36" s="127" t="e">
        <f t="shared" si="2"/>
        <v>#N/A</v>
      </c>
      <c r="AO36" s="126" t="e">
        <f t="shared" si="3"/>
        <v>#N/A</v>
      </c>
      <c r="AP36" s="128" t="e">
        <f>VLOOKUP(X36,'Tax Calc'!$B$5:$F$16,5,TRUE)</f>
        <v>#N/A</v>
      </c>
      <c r="AQ36" s="126" t="e">
        <f t="shared" si="36"/>
        <v>#N/A</v>
      </c>
      <c r="AR36" s="126" t="e">
        <f>VLOOKUP(X36,'Tax Calc'!$B$5:$H$16,7,TRUE)</f>
        <v>#N/A</v>
      </c>
      <c r="AS36" s="126" t="e">
        <f t="shared" si="5"/>
        <v>#N/A</v>
      </c>
    </row>
    <row r="37" spans="2:45">
      <c r="B37" s="111">
        <v>33</v>
      </c>
      <c r="C37" s="131" t="s">
        <v>177</v>
      </c>
      <c r="D37" s="132" t="s">
        <v>183</v>
      </c>
      <c r="E37" s="115" t="s">
        <v>141</v>
      </c>
      <c r="F37" s="115" t="s">
        <v>91</v>
      </c>
      <c r="G37" s="138">
        <v>44587</v>
      </c>
      <c r="H37" s="114" t="e">
        <f>VLOOKUP($D37,'Salary Sheet'!$C$3:$AD$61,23,FALSE)</f>
        <v>#N/A</v>
      </c>
      <c r="I37" s="114" t="e">
        <f>VLOOKUP($D37,'Salary Sheet'!$C$3:$AD$61,24,FALSE)</f>
        <v>#N/A</v>
      </c>
      <c r="J37" s="114" t="e">
        <f>VLOOKUP($D37,'Salary Sheet'!$C$3:$AD$61,25,FALSE)</f>
        <v>#N/A</v>
      </c>
      <c r="K37" s="117" t="e">
        <f t="shared" si="0"/>
        <v>#N/A</v>
      </c>
      <c r="L37" s="118">
        <v>0</v>
      </c>
      <c r="M37" s="118">
        <f t="shared" si="27"/>
        <v>0</v>
      </c>
      <c r="N37" s="118">
        <f t="shared" si="28"/>
        <v>0</v>
      </c>
      <c r="O37" s="118">
        <f t="shared" si="29"/>
        <v>0</v>
      </c>
      <c r="P37" s="118">
        <f t="shared" si="30"/>
        <v>0</v>
      </c>
      <c r="Q37" s="118">
        <f t="shared" si="31"/>
        <v>0</v>
      </c>
      <c r="R37" s="118" t="e">
        <f>VLOOKUP(D37,'Salary Sheet'!$C$3:$AG$61,28,FALSE)</f>
        <v>#N/A</v>
      </c>
      <c r="S37" s="118" t="e">
        <f t="shared" si="22"/>
        <v>#N/A</v>
      </c>
      <c r="T37" s="118" t="e">
        <f t="shared" si="23"/>
        <v>#N/A</v>
      </c>
      <c r="U37" s="118" t="e">
        <f t="shared" si="24"/>
        <v>#N/A</v>
      </c>
      <c r="V37" s="118" t="e">
        <f t="shared" si="25"/>
        <v>#N/A</v>
      </c>
      <c r="W37" s="118" t="e">
        <f t="shared" si="26"/>
        <v>#N/A</v>
      </c>
      <c r="X37" s="137" t="e">
        <f t="shared" si="15"/>
        <v>#N/A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>
        <f t="shared" si="16"/>
        <v>0</v>
      </c>
      <c r="AL37" s="126" t="e">
        <f>VLOOKUP(X37,'Tax Calc'!$B$5:$I$16,1,TRUE)</f>
        <v>#N/A</v>
      </c>
      <c r="AM37" s="126" t="e">
        <f>VLOOKUP(X37,'Tax Calc'!$B$5:$I$16,2,TRUE)</f>
        <v>#N/A</v>
      </c>
      <c r="AN37" s="127" t="e">
        <f t="shared" si="2"/>
        <v>#N/A</v>
      </c>
      <c r="AO37" s="126" t="e">
        <f t="shared" si="3"/>
        <v>#N/A</v>
      </c>
      <c r="AP37" s="128" t="e">
        <f>VLOOKUP(X37,'Tax Calc'!$B$5:$F$16,5,TRUE)</f>
        <v>#N/A</v>
      </c>
      <c r="AQ37" s="126" t="e">
        <f t="shared" ref="AQ37:AQ38" si="37">IF(AN37,AO37*AP37)</f>
        <v>#N/A</v>
      </c>
      <c r="AR37" s="126" t="e">
        <f>VLOOKUP(X37,'Tax Calc'!$B$5:$H$16,7,TRUE)</f>
        <v>#N/A</v>
      </c>
      <c r="AS37" s="126" t="e">
        <f t="shared" si="5"/>
        <v>#N/A</v>
      </c>
    </row>
    <row r="38" spans="2:45">
      <c r="B38" s="111">
        <v>34</v>
      </c>
      <c r="C38" s="131" t="s">
        <v>178</v>
      </c>
      <c r="D38" s="132" t="s">
        <v>184</v>
      </c>
      <c r="E38" s="115" t="s">
        <v>141</v>
      </c>
      <c r="F38" s="115" t="s">
        <v>91</v>
      </c>
      <c r="G38" s="138">
        <v>44593</v>
      </c>
      <c r="H38" s="114" t="e">
        <f>VLOOKUP($D38,'Salary Sheet'!$C$3:$AD$61,23,FALSE)</f>
        <v>#N/A</v>
      </c>
      <c r="I38" s="114" t="e">
        <f>VLOOKUP($D38,'Salary Sheet'!$C$3:$AD$61,24,FALSE)</f>
        <v>#N/A</v>
      </c>
      <c r="J38" s="114" t="e">
        <f>VLOOKUP($D38,'Salary Sheet'!$C$3:$AD$61,25,FALSE)</f>
        <v>#N/A</v>
      </c>
      <c r="K38" s="117" t="e">
        <f t="shared" si="0"/>
        <v>#N/A</v>
      </c>
      <c r="L38" s="118">
        <v>0</v>
      </c>
      <c r="M38" s="118">
        <f t="shared" si="27"/>
        <v>0</v>
      </c>
      <c r="N38" s="118">
        <f t="shared" si="28"/>
        <v>0</v>
      </c>
      <c r="O38" s="118">
        <f t="shared" si="29"/>
        <v>0</v>
      </c>
      <c r="P38" s="118">
        <f t="shared" si="30"/>
        <v>0</v>
      </c>
      <c r="Q38" s="118">
        <f t="shared" si="31"/>
        <v>0</v>
      </c>
      <c r="R38" s="118" t="e">
        <f>VLOOKUP(D38,'Salary Sheet'!$C$3:$AG$61,28,FALSE)</f>
        <v>#N/A</v>
      </c>
      <c r="S38" s="118" t="e">
        <f t="shared" si="22"/>
        <v>#N/A</v>
      </c>
      <c r="T38" s="118" t="e">
        <f t="shared" si="23"/>
        <v>#N/A</v>
      </c>
      <c r="U38" s="118" t="e">
        <f t="shared" si="24"/>
        <v>#N/A</v>
      </c>
      <c r="V38" s="118" t="e">
        <f t="shared" si="25"/>
        <v>#N/A</v>
      </c>
      <c r="W38" s="118" t="e">
        <f t="shared" si="26"/>
        <v>#N/A</v>
      </c>
      <c r="X38" s="137" t="e">
        <f t="shared" si="15"/>
        <v>#N/A</v>
      </c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>
        <f t="shared" si="16"/>
        <v>0</v>
      </c>
      <c r="AL38" s="126" t="e">
        <f>VLOOKUP(X38,'Tax Calc'!$B$5:$I$16,1,TRUE)</f>
        <v>#N/A</v>
      </c>
      <c r="AM38" s="126" t="e">
        <f>VLOOKUP(X38,'Tax Calc'!$B$5:$I$16,2,TRUE)</f>
        <v>#N/A</v>
      </c>
      <c r="AN38" s="127" t="e">
        <f t="shared" si="2"/>
        <v>#N/A</v>
      </c>
      <c r="AO38" s="126" t="e">
        <f t="shared" si="3"/>
        <v>#N/A</v>
      </c>
      <c r="AP38" s="128" t="e">
        <f>VLOOKUP(X38,'Tax Calc'!$B$5:$F$16,5,TRUE)</f>
        <v>#N/A</v>
      </c>
      <c r="AQ38" s="126" t="e">
        <f t="shared" si="37"/>
        <v>#N/A</v>
      </c>
      <c r="AR38" s="126" t="e">
        <f>VLOOKUP(X38,'Tax Calc'!$B$5:$H$16,7,TRUE)</f>
        <v>#N/A</v>
      </c>
      <c r="AS38" s="126" t="e">
        <f t="shared" si="5"/>
        <v>#N/A</v>
      </c>
    </row>
    <row r="39" spans="2:45" ht="15.75" thickBot="1">
      <c r="H39" s="133" t="e">
        <f t="shared" ref="H39:AK39" si="38">SUM(H5:H38)</f>
        <v>#N/A</v>
      </c>
      <c r="I39" s="133" t="e">
        <f t="shared" si="38"/>
        <v>#N/A</v>
      </c>
      <c r="J39" s="133" t="e">
        <f t="shared" si="38"/>
        <v>#N/A</v>
      </c>
      <c r="K39" s="133" t="e">
        <f t="shared" si="38"/>
        <v>#N/A</v>
      </c>
      <c r="L39" s="133">
        <f t="shared" si="38"/>
        <v>282000</v>
      </c>
      <c r="M39" s="133">
        <f t="shared" si="38"/>
        <v>287500</v>
      </c>
      <c r="N39" s="133">
        <f t="shared" si="38"/>
        <v>357500</v>
      </c>
      <c r="O39" s="133">
        <f t="shared" si="38"/>
        <v>357500</v>
      </c>
      <c r="P39" s="133">
        <f t="shared" si="38"/>
        <v>397500</v>
      </c>
      <c r="Q39" s="133">
        <f t="shared" si="38"/>
        <v>475000</v>
      </c>
      <c r="R39" s="133" t="e">
        <f t="shared" si="38"/>
        <v>#N/A</v>
      </c>
      <c r="S39" s="133" t="e">
        <f t="shared" si="38"/>
        <v>#N/A</v>
      </c>
      <c r="T39" s="133" t="e">
        <f t="shared" si="38"/>
        <v>#N/A</v>
      </c>
      <c r="U39" s="133" t="e">
        <f t="shared" si="38"/>
        <v>#N/A</v>
      </c>
      <c r="V39" s="133" t="e">
        <f t="shared" si="38"/>
        <v>#N/A</v>
      </c>
      <c r="W39" s="133" t="e">
        <f t="shared" si="38"/>
        <v>#N/A</v>
      </c>
      <c r="X39" s="133" t="e">
        <f t="shared" si="38"/>
        <v>#N/A</v>
      </c>
      <c r="Y39" s="133">
        <f t="shared" si="38"/>
        <v>0</v>
      </c>
      <c r="Z39" s="133">
        <f t="shared" si="38"/>
        <v>0</v>
      </c>
      <c r="AA39" s="133">
        <f t="shared" si="38"/>
        <v>0</v>
      </c>
      <c r="AB39" s="133">
        <f t="shared" si="38"/>
        <v>0</v>
      </c>
      <c r="AC39" s="133">
        <f t="shared" si="38"/>
        <v>0</v>
      </c>
      <c r="AD39" s="133">
        <f t="shared" si="38"/>
        <v>0</v>
      </c>
      <c r="AE39" s="133">
        <f t="shared" si="38"/>
        <v>0</v>
      </c>
      <c r="AF39" s="133">
        <f t="shared" si="38"/>
        <v>0</v>
      </c>
      <c r="AG39" s="133">
        <f t="shared" si="38"/>
        <v>0</v>
      </c>
      <c r="AH39" s="133">
        <f t="shared" si="38"/>
        <v>0</v>
      </c>
      <c r="AI39" s="133">
        <f t="shared" si="38"/>
        <v>0</v>
      </c>
      <c r="AJ39" s="133">
        <f t="shared" si="38"/>
        <v>0</v>
      </c>
      <c r="AK39" s="133">
        <f t="shared" si="38"/>
        <v>0</v>
      </c>
      <c r="AS39" s="133" t="e">
        <f>SUM(AS5:AS38)</f>
        <v>#N/A</v>
      </c>
    </row>
    <row r="40" spans="2:45" ht="15.75" thickTop="1"/>
  </sheetData>
  <autoFilter ref="B4:AS39"/>
  <mergeCells count="4">
    <mergeCell ref="H3:K3"/>
    <mergeCell ref="L3:X3"/>
    <mergeCell ref="AL3:AS3"/>
    <mergeCell ref="Y3:AK3"/>
  </mergeCells>
  <conditionalFormatting sqref="E4:F4">
    <cfRule type="duplicateValues" dxfId="47" priority="1638"/>
    <cfRule type="duplicateValues" dxfId="46" priority="13829"/>
  </conditionalFormatting>
  <conditionalFormatting sqref="E81:G1048576 E1:G3">
    <cfRule type="duplicateValues" dxfId="45" priority="1639"/>
  </conditionalFormatting>
  <conditionalFormatting sqref="C1:C1048576">
    <cfRule type="duplicateValues" dxfId="44" priority="13831"/>
  </conditionalFormatting>
  <conditionalFormatting sqref="D9:D1048576 D1:D7">
    <cfRule type="duplicateValues" dxfId="43" priority="13834"/>
  </conditionalFormatting>
  <conditionalFormatting sqref="D9:D1048576">
    <cfRule type="duplicateValues" dxfId="42" priority="1"/>
  </conditionalFormatting>
  <dataValidations count="1">
    <dataValidation type="date" allowBlank="1" showInputMessage="1" showErrorMessage="1" errorTitle="format error" error="Please enter the date in the following format_x000a_YYYY-MM-DD" sqref="G5:G38">
      <formula1>29221</formula1>
      <formula2>46022</formula2>
    </dataValidation>
  </dataValidations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view="pageBreakPreview" topLeftCell="A13" zoomScaleNormal="100" zoomScaleSheetLayoutView="100" workbookViewId="0">
      <selection activeCell="E36" sqref="E36"/>
    </sheetView>
  </sheetViews>
  <sheetFormatPr defaultColWidth="9.140625" defaultRowHeight="12.75"/>
  <cols>
    <col min="1" max="1" width="24" style="146" bestFit="1" customWidth="1"/>
    <col min="2" max="2" width="20.7109375" style="147" customWidth="1"/>
    <col min="3" max="3" width="2.42578125" style="147" customWidth="1"/>
    <col min="4" max="4" width="23" style="146" bestFit="1" customWidth="1"/>
    <col min="5" max="5" width="27.28515625" style="146" customWidth="1"/>
    <col min="6" max="16384" width="9.140625" style="146"/>
  </cols>
  <sheetData>
    <row r="2" spans="1:5" ht="15" customHeight="1"/>
    <row r="3" spans="1:5" ht="34.9" customHeight="1">
      <c r="A3" s="382" t="s">
        <v>202</v>
      </c>
      <c r="B3" s="382"/>
      <c r="C3" s="382"/>
      <c r="D3" s="382"/>
    </row>
    <row r="4" spans="1:5" ht="15" customHeight="1"/>
    <row r="5" spans="1:5" ht="15" customHeight="1">
      <c r="A5" s="148"/>
      <c r="B5" s="148"/>
      <c r="C5" s="148"/>
      <c r="D5" s="148"/>
      <c r="E5" s="149"/>
    </row>
    <row r="6" spans="1:5" ht="17.45" customHeight="1">
      <c r="A6" s="383" t="s">
        <v>212</v>
      </c>
      <c r="B6" s="383"/>
      <c r="C6" s="383"/>
      <c r="D6" s="383"/>
      <c r="E6" s="383"/>
    </row>
    <row r="7" spans="1:5" ht="13.5" thickBot="1">
      <c r="E7" s="150"/>
    </row>
    <row r="8" spans="1:5" ht="16.5" thickTop="1" thickBot="1">
      <c r="A8" s="151" t="s">
        <v>213</v>
      </c>
      <c r="B8" s="152">
        <f>'Salary Sheet'!B13</f>
        <v>44742</v>
      </c>
      <c r="C8" s="153"/>
      <c r="D8" s="151" t="s">
        <v>216</v>
      </c>
      <c r="E8" s="154" t="str">
        <f>VLOOKUP($B$9,'Salary Sheet'!$C$5:$BB$48,7,FALSE)</f>
        <v>Manager Accounts &amp; Finance</v>
      </c>
    </row>
    <row r="9" spans="1:5" ht="15.75" thickBot="1">
      <c r="A9" s="155" t="s">
        <v>214</v>
      </c>
      <c r="B9" s="156" t="s">
        <v>175</v>
      </c>
      <c r="C9" s="153"/>
      <c r="D9" s="155" t="s">
        <v>218</v>
      </c>
      <c r="E9" s="157" t="str">
        <f>VLOOKUP($B$9,'Salary Sheet'!$C$5:$BB$48,2,FALSE)</f>
        <v>Support Functions</v>
      </c>
    </row>
    <row r="10" spans="1:5" ht="15.75" thickBot="1">
      <c r="A10" s="155" t="s">
        <v>215</v>
      </c>
      <c r="B10" s="156" t="str">
        <f>VLOOKUP($B$9,'Salary Sheet'!$C$5:$BB$48,5,FALSE)</f>
        <v>Zia Ur Rehman</v>
      </c>
      <c r="C10" s="153"/>
      <c r="D10" s="155" t="s">
        <v>217</v>
      </c>
      <c r="E10" s="158">
        <f>VLOOKUP($B$9,'Salary Sheet'!$C$5:$BB$48,9,FALSE)</f>
        <v>44564</v>
      </c>
    </row>
    <row r="11" spans="1:5" ht="15.75" thickBot="1">
      <c r="A11" s="159" t="s">
        <v>219</v>
      </c>
      <c r="B11" s="160">
        <f>VLOOKUP($B$9,'Salary Sheet'!$C$5:$BB$48,4,FALSE)</f>
        <v>44</v>
      </c>
      <c r="C11" s="153"/>
      <c r="D11" s="159" t="s">
        <v>220</v>
      </c>
      <c r="E11" s="160">
        <f>VLOOKUP($B$9,'Salary Sheet'!$C$5:$BB$48,6,FALSE)</f>
        <v>3</v>
      </c>
    </row>
    <row r="12" spans="1:5" ht="15.75" thickTop="1">
      <c r="A12" s="161"/>
      <c r="B12" s="162"/>
      <c r="C12" s="162"/>
      <c r="D12" s="163"/>
      <c r="E12" s="163"/>
    </row>
    <row r="13" spans="1:5" ht="15">
      <c r="A13" s="164" t="s">
        <v>222</v>
      </c>
      <c r="B13" s="164">
        <f>VLOOKUP($B$9,'Salary Sheet'!$C$5:$BB$48,14,FALSE)</f>
        <v>30</v>
      </c>
      <c r="C13" s="153"/>
      <c r="D13" s="164" t="s">
        <v>84</v>
      </c>
      <c r="E13" s="164">
        <f>VLOOKUP($B$9,'Salary Sheet'!$C$5:$BB$48,18,FALSE)</f>
        <v>0</v>
      </c>
    </row>
    <row r="14" spans="1:5" ht="15">
      <c r="A14" s="164" t="s">
        <v>221</v>
      </c>
      <c r="B14" s="164">
        <f>VLOOKUP($B$9,'Salary Sheet'!$C$5:$BB$48,19,FALSE)</f>
        <v>30</v>
      </c>
      <c r="C14" s="153"/>
      <c r="D14" s="164" t="s">
        <v>68</v>
      </c>
      <c r="E14" s="165" t="str">
        <f>VLOOKUP($B$9,'Salary Sheet'!$C$5:$BB$48,3,FALSE)</f>
        <v>Active</v>
      </c>
    </row>
    <row r="18" spans="1:5" s="139" customFormat="1" ht="18.75">
      <c r="A18" s="384" t="s">
        <v>223</v>
      </c>
      <c r="B18" s="384"/>
      <c r="C18" s="141"/>
      <c r="D18" s="384" t="s">
        <v>224</v>
      </c>
      <c r="E18" s="384"/>
    </row>
    <row r="19" spans="1:5" s="139" customFormat="1" ht="18.75">
      <c r="A19" s="142" t="s">
        <v>225</v>
      </c>
      <c r="B19" s="143" t="s">
        <v>226</v>
      </c>
      <c r="C19" s="141"/>
      <c r="D19" s="142" t="s">
        <v>225</v>
      </c>
      <c r="E19" s="143" t="s">
        <v>226</v>
      </c>
    </row>
    <row r="20" spans="1:5" s="140" customFormat="1" ht="34.15" customHeight="1">
      <c r="A20" s="166" t="str">
        <f>'Salary Sheet'!Y2</f>
        <v xml:space="preserve">
Basic Salary</v>
      </c>
      <c r="B20" s="167">
        <f>VLOOKUP($B$9,'Salary Sheet'!$C$5:$BB$48,23,FALSE)</f>
        <v>19800</v>
      </c>
      <c r="D20" s="168" t="str">
        <f>'Salary Sheet'!AJ2</f>
        <v>Provident Fund - Employee Contribution</v>
      </c>
      <c r="E20" s="167">
        <f>VLOOKUP($B$9,'Salary Sheet'!$C$5:$BB$48,34,FALSE)</f>
        <v>1980</v>
      </c>
    </row>
    <row r="21" spans="1:5" s="139" customFormat="1" ht="18.75">
      <c r="A21" s="169" t="str">
        <f>'Salary Sheet'!Z2</f>
        <v xml:space="preserve">
House Rent</v>
      </c>
      <c r="B21" s="167">
        <f>VLOOKUP($B$9,'Salary Sheet'!$C$5:$BB$48,24,FALSE)</f>
        <v>7500</v>
      </c>
      <c r="D21" s="169" t="str">
        <f>'Salary Sheet'!AP2</f>
        <v>Income Tax</v>
      </c>
      <c r="E21" s="167">
        <f>VLOOKUP($B$9,'Salary Sheet'!$C$5:$BB$48,42,FALSE)</f>
        <v>1364</v>
      </c>
    </row>
    <row r="22" spans="1:5" s="139" customFormat="1" ht="18.75">
      <c r="A22" s="169" t="str">
        <f>'Salary Sheet'!AA2</f>
        <v xml:space="preserve">
Medical Allowance</v>
      </c>
      <c r="B22" s="167">
        <f>VLOOKUP($B$9,'Salary Sheet'!$C$5:$BB$48,25,FALSE)</f>
        <v>2700</v>
      </c>
      <c r="D22" s="169" t="str">
        <f>'Salary Sheet'!AO2</f>
        <v>EOBI Ded</v>
      </c>
      <c r="E22" s="170"/>
    </row>
    <row r="23" spans="1:5" s="139" customFormat="1" ht="18.75">
      <c r="A23" s="169" t="str">
        <f>'Salary Sheet'!AE2</f>
        <v>Sales Commission</v>
      </c>
      <c r="B23" s="167">
        <f>VLOOKUP($B$9,'Salary Sheet'!$C$5:$BB$48,26,FALSE)</f>
        <v>0</v>
      </c>
      <c r="D23" s="169"/>
      <c r="E23" s="170"/>
    </row>
    <row r="24" spans="1:5" s="139" customFormat="1" ht="18.75">
      <c r="A24" s="169" t="str">
        <f>'Salary Sheet'!AF2</f>
        <v xml:space="preserve">
Bonus</v>
      </c>
      <c r="B24" s="167">
        <f>VLOOKUP($B$9,'Salary Sheet'!$C$5:$BB$48,27,FALSE)</f>
        <v>0</v>
      </c>
      <c r="D24" s="169"/>
      <c r="E24" s="170"/>
    </row>
    <row r="25" spans="1:5" s="139" customFormat="1" ht="18.75">
      <c r="A25" s="142" t="s">
        <v>19</v>
      </c>
      <c r="B25" s="144">
        <f>SUM(B20:B24)</f>
        <v>30000</v>
      </c>
      <c r="C25" s="145"/>
      <c r="D25" s="142" t="s">
        <v>19</v>
      </c>
      <c r="E25" s="144">
        <f>SUM(E20:E24)</f>
        <v>3344</v>
      </c>
    </row>
    <row r="26" spans="1:5" s="139" customFormat="1" ht="18.75">
      <c r="A26" s="388"/>
      <c r="B26" s="388"/>
      <c r="C26" s="388"/>
      <c r="D26" s="388"/>
      <c r="E26" s="388"/>
    </row>
    <row r="27" spans="1:5" s="139" customFormat="1" ht="18.75">
      <c r="A27" s="384" t="s">
        <v>203</v>
      </c>
      <c r="B27" s="384"/>
      <c r="C27" s="141"/>
      <c r="D27" s="389">
        <f>B25-E25</f>
        <v>26656</v>
      </c>
      <c r="E27" s="389"/>
    </row>
    <row r="31" spans="1:5" ht="15.75">
      <c r="A31" s="386" t="s">
        <v>204</v>
      </c>
      <c r="B31" s="386"/>
      <c r="C31" s="386"/>
      <c r="D31" s="386"/>
      <c r="E31" s="386"/>
    </row>
    <row r="32" spans="1:5" ht="10.9" customHeight="1"/>
    <row r="33" spans="1:5" ht="15">
      <c r="A33" s="387" t="s">
        <v>230</v>
      </c>
      <c r="B33" s="387"/>
      <c r="C33" s="387"/>
      <c r="D33" s="387"/>
      <c r="E33" s="387"/>
    </row>
    <row r="34" spans="1:5" ht="10.9" customHeight="1"/>
    <row r="35" spans="1:5" ht="15">
      <c r="A35" s="163"/>
      <c r="B35" s="176" t="s">
        <v>205</v>
      </c>
      <c r="C35" s="177"/>
      <c r="D35" s="176" t="s">
        <v>206</v>
      </c>
      <c r="E35" s="176" t="s">
        <v>19</v>
      </c>
    </row>
    <row r="36" spans="1:5" ht="15">
      <c r="A36" s="163" t="s">
        <v>207</v>
      </c>
      <c r="B36" s="178">
        <f>VLOOKUP($B$9,'Salary Sheet'!$C$5:$BB$48,36,FALSE)-B37-D37</f>
        <v>-3960</v>
      </c>
      <c r="C36" s="179"/>
      <c r="D36" s="178">
        <f>VLOOKUP($B$9,'Salary Sheet'!$C$5:$BB$48,36,FALSE)-B37-D37</f>
        <v>-3960</v>
      </c>
      <c r="E36" s="178">
        <f>D36+B36</f>
        <v>-7920</v>
      </c>
    </row>
    <row r="37" spans="1:5" ht="15">
      <c r="A37" s="163" t="s">
        <v>208</v>
      </c>
      <c r="B37" s="178">
        <f>VLOOKUP($B$9,'Salary Sheet'!$C$5:$BB$48,34,FALSE)</f>
        <v>1980</v>
      </c>
      <c r="C37" s="179"/>
      <c r="D37" s="178">
        <f>VLOOKUP($B$9,'Salary Sheet'!$C$5:$BB$48,35,FALSE)</f>
        <v>1980</v>
      </c>
      <c r="E37" s="178">
        <f>B37+D37</f>
        <v>3960</v>
      </c>
    </row>
    <row r="38" spans="1:5" ht="15.75" thickBot="1">
      <c r="A38" s="161" t="s">
        <v>19</v>
      </c>
      <c r="B38" s="180">
        <f>SUM(B36:B37)</f>
        <v>-1980</v>
      </c>
      <c r="C38" s="181"/>
      <c r="D38" s="180">
        <f>SUM(D36:D37)</f>
        <v>-1980</v>
      </c>
      <c r="E38" s="180">
        <f>SUM(E36:E37)</f>
        <v>-3960</v>
      </c>
    </row>
    <row r="39" spans="1:5" ht="10.9" customHeight="1" thickTop="1"/>
    <row r="40" spans="1:5" ht="15">
      <c r="A40" s="387" t="s">
        <v>209</v>
      </c>
      <c r="B40" s="387"/>
      <c r="C40" s="387"/>
      <c r="D40" s="387"/>
      <c r="E40" s="387"/>
    </row>
    <row r="41" spans="1:5" ht="10.9" customHeight="1">
      <c r="A41" s="163"/>
      <c r="B41" s="162"/>
      <c r="C41" s="162"/>
      <c r="D41" s="163"/>
      <c r="E41" s="163"/>
    </row>
    <row r="42" spans="1:5" ht="15.75" thickBot="1">
      <c r="A42" s="163" t="s">
        <v>210</v>
      </c>
      <c r="B42" s="182">
        <v>0</v>
      </c>
      <c r="C42" s="183"/>
      <c r="D42" s="184" t="s">
        <v>231</v>
      </c>
      <c r="E42" s="185">
        <v>0</v>
      </c>
    </row>
    <row r="43" spans="1:5" ht="15.75" thickTop="1">
      <c r="A43" s="163" t="s">
        <v>211</v>
      </c>
      <c r="B43" s="178">
        <v>0</v>
      </c>
      <c r="C43" s="183"/>
      <c r="D43" s="186"/>
      <c r="E43" s="186"/>
    </row>
    <row r="44" spans="1:5" ht="15.75" thickBot="1">
      <c r="A44" s="161" t="s">
        <v>232</v>
      </c>
      <c r="B44" s="187">
        <f>B42-B43</f>
        <v>0</v>
      </c>
      <c r="C44" s="183"/>
      <c r="D44" s="186"/>
      <c r="E44" s="186"/>
    </row>
    <row r="45" spans="1:5" ht="13.5" thickTop="1">
      <c r="A45" s="171"/>
      <c r="B45" s="173"/>
      <c r="C45" s="174"/>
      <c r="D45" s="175"/>
      <c r="E45" s="175"/>
    </row>
    <row r="46" spans="1:5">
      <c r="A46" s="171"/>
      <c r="B46" s="173"/>
      <c r="C46" s="174"/>
      <c r="D46" s="175"/>
      <c r="E46" s="175"/>
    </row>
    <row r="47" spans="1:5">
      <c r="A47" s="171"/>
      <c r="B47" s="172"/>
      <c r="C47" s="172"/>
    </row>
    <row r="48" spans="1:5" ht="15">
      <c r="A48" s="385" t="s">
        <v>229</v>
      </c>
      <c r="B48" s="385"/>
      <c r="C48" s="385"/>
      <c r="D48" s="385"/>
      <c r="E48" s="385"/>
    </row>
  </sheetData>
  <mergeCells count="11">
    <mergeCell ref="A3:D3"/>
    <mergeCell ref="A6:E6"/>
    <mergeCell ref="A18:B18"/>
    <mergeCell ref="D18:E18"/>
    <mergeCell ref="A48:E48"/>
    <mergeCell ref="A31:E31"/>
    <mergeCell ref="A33:E33"/>
    <mergeCell ref="A40:E40"/>
    <mergeCell ref="A26:E26"/>
    <mergeCell ref="D27:E27"/>
    <mergeCell ref="A27:B27"/>
  </mergeCells>
  <pageMargins left="0.7" right="0.7" top="0.75" bottom="0.75" header="0.3" footer="0.3"/>
  <pageSetup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view="pageBreakPreview" topLeftCell="A19" zoomScaleNormal="100" zoomScaleSheetLayoutView="100" workbookViewId="0">
      <selection activeCell="D46" sqref="D46"/>
    </sheetView>
  </sheetViews>
  <sheetFormatPr defaultColWidth="9.140625" defaultRowHeight="15"/>
  <cols>
    <col min="1" max="1" width="45" style="189" customWidth="1"/>
    <col min="2" max="2" width="32" style="189" customWidth="1"/>
    <col min="3" max="3" width="26.28515625" style="189" customWidth="1"/>
    <col min="4" max="4" width="29.5703125" style="189" customWidth="1"/>
    <col min="5" max="7" width="9.140625" style="189"/>
    <col min="8" max="8" width="17.28515625" style="189" customWidth="1"/>
    <col min="9" max="9" width="24.5703125" style="264" customWidth="1"/>
    <col min="10" max="16384" width="9.140625" style="189"/>
  </cols>
  <sheetData>
    <row r="1" spans="1:9" ht="17.25">
      <c r="A1" s="188" t="s">
        <v>234</v>
      </c>
    </row>
    <row r="2" spans="1:9" ht="17.25">
      <c r="A2" s="188"/>
    </row>
    <row r="3" spans="1:9" ht="17.25">
      <c r="A3" s="190" t="s">
        <v>234</v>
      </c>
    </row>
    <row r="4" spans="1:9" ht="16.5">
      <c r="A4" s="191"/>
      <c r="B4" s="192"/>
      <c r="C4" s="192"/>
    </row>
    <row r="5" spans="1:9" ht="16.5">
      <c r="A5" s="201"/>
      <c r="B5" s="201"/>
      <c r="C5" s="201">
        <f ca="1">TODAY()</f>
        <v>44761</v>
      </c>
    </row>
    <row r="6" spans="1:9" ht="16.5">
      <c r="A6" s="191" t="s">
        <v>235</v>
      </c>
      <c r="B6" s="192"/>
      <c r="C6" s="192"/>
    </row>
    <row r="7" spans="1:9" ht="16.5">
      <c r="A7" s="191" t="s">
        <v>241</v>
      </c>
      <c r="B7" s="192"/>
      <c r="C7" s="192"/>
    </row>
    <row r="8" spans="1:9" ht="16.5">
      <c r="A8" s="191" t="s">
        <v>242</v>
      </c>
      <c r="B8" s="192"/>
      <c r="C8" s="192"/>
    </row>
    <row r="9" spans="1:9" ht="16.5">
      <c r="A9" s="193" t="s">
        <v>234</v>
      </c>
      <c r="B9" s="192"/>
      <c r="C9" s="192"/>
    </row>
    <row r="10" spans="1:9" ht="16.5">
      <c r="A10" s="390" t="s">
        <v>236</v>
      </c>
      <c r="B10" s="390"/>
      <c r="C10" s="390"/>
    </row>
    <row r="11" spans="1:9" ht="16.5">
      <c r="A11" s="191" t="s">
        <v>234</v>
      </c>
      <c r="B11" s="192"/>
      <c r="C11" s="192"/>
    </row>
    <row r="12" spans="1:9">
      <c r="A12" s="203" t="s">
        <v>237</v>
      </c>
      <c r="B12" s="192"/>
      <c r="C12" s="192"/>
      <c r="H12" s="266"/>
    </row>
    <row r="13" spans="1:9" ht="16.5">
      <c r="A13" s="191" t="s">
        <v>234</v>
      </c>
      <c r="B13" s="192"/>
      <c r="C13" s="192"/>
      <c r="H13" s="266"/>
    </row>
    <row r="14" spans="1:9" ht="25.9" customHeight="1">
      <c r="A14" s="391" t="s">
        <v>243</v>
      </c>
      <c r="B14" s="392"/>
      <c r="C14" s="393"/>
      <c r="H14" s="266"/>
    </row>
    <row r="15" spans="1:9" ht="26.45" customHeight="1">
      <c r="A15" s="394"/>
      <c r="B15" s="395"/>
      <c r="C15" s="396"/>
      <c r="I15" s="265"/>
    </row>
    <row r="16" spans="1:9" ht="16.5">
      <c r="A16" s="191"/>
      <c r="B16" s="192"/>
      <c r="C16" s="192"/>
    </row>
    <row r="17" spans="1:7" ht="15" customHeight="1">
      <c r="A17" s="194" t="s">
        <v>4</v>
      </c>
      <c r="B17" s="195" t="s">
        <v>238</v>
      </c>
      <c r="C17" s="196" t="s">
        <v>226</v>
      </c>
      <c r="D17" s="132"/>
    </row>
    <row r="18" spans="1:7" ht="15" customHeight="1">
      <c r="A18" s="197" t="str">
        <f>VLOOKUP(D18,'Salary Sheet'!$C$2:$AZ$57,5,FALSE)</f>
        <v>Muhammad Abdul Haye</v>
      </c>
      <c r="B18" s="269">
        <v>11470105981905</v>
      </c>
      <c r="C18" s="204">
        <f>VLOOKUP(D18,'Salary Sheet'!$C$3:$AZ$47,50,FALSE)</f>
        <v>33020</v>
      </c>
      <c r="D18" s="132" t="s">
        <v>297</v>
      </c>
    </row>
    <row r="19" spans="1:7" ht="15" customHeight="1">
      <c r="A19" s="197" t="str">
        <f>VLOOKUP(D19,'Salary Sheet'!$C$2:$AZ$57,5,FALSE)</f>
        <v>Muhammad Bilal</v>
      </c>
      <c r="B19" s="269">
        <v>11470105982471</v>
      </c>
      <c r="C19" s="204">
        <f>VLOOKUP(D19,'Salary Sheet'!$C$3:$AZ$47,50,FALSE)</f>
        <v>33020</v>
      </c>
      <c r="D19" s="132" t="s">
        <v>296</v>
      </c>
    </row>
    <row r="20" spans="1:7" ht="15" customHeight="1">
      <c r="A20" s="197" t="str">
        <f>VLOOKUP(D20,'Salary Sheet'!$C$2:$AZ$57,5,FALSE)</f>
        <v>Muhammad Abdus Sami</v>
      </c>
      <c r="B20" s="269">
        <v>11470106322435</v>
      </c>
      <c r="C20" s="204">
        <f>VLOOKUP(D20,'Salary Sheet'!$C$3:$AZ$47,50,FALSE)</f>
        <v>33020</v>
      </c>
      <c r="D20" s="132" t="s">
        <v>233</v>
      </c>
    </row>
    <row r="21" spans="1:7" ht="15" customHeight="1">
      <c r="A21" s="197" t="str">
        <f>VLOOKUP(D21,'Salary Sheet'!$C$2:$AZ$57,5,FALSE)</f>
        <v>Muhammad Abdul Wahab</v>
      </c>
      <c r="B21" s="269" t="s">
        <v>188</v>
      </c>
      <c r="C21" s="204">
        <f>VLOOKUP(D21,'Salary Sheet'!$C$3:$AZ$47,50,FALSE)</f>
        <v>33020</v>
      </c>
      <c r="D21" s="132" t="s">
        <v>155</v>
      </c>
      <c r="G21" s="267"/>
    </row>
    <row r="22" spans="1:7" ht="15" customHeight="1">
      <c r="A22" s="197" t="str">
        <f>VLOOKUP(D22,'Salary Sheet'!$C$2:$AZ$57,5,FALSE)</f>
        <v>Anas Ibrahim</v>
      </c>
      <c r="B22" s="269" t="s">
        <v>186</v>
      </c>
      <c r="C22" s="204">
        <f>VLOOKUP(D22,'Salary Sheet'!$C$3:$AZ$47,50,FALSE)</f>
        <v>33020</v>
      </c>
      <c r="D22" s="132">
        <v>3410173752691</v>
      </c>
      <c r="G22" s="267"/>
    </row>
    <row r="23" spans="1:7" ht="15" customHeight="1">
      <c r="A23" s="197" t="str">
        <f>VLOOKUP(D23,'Salary Sheet'!$C$2:$AZ$57,5,FALSE)</f>
        <v>Raheel Ahmad Qureshi</v>
      </c>
      <c r="B23" s="270">
        <v>11510104841013</v>
      </c>
      <c r="C23" s="204">
        <f>VLOOKUP(D23,'Salary Sheet'!$C$3:$AZ$47,50,FALSE)</f>
        <v>30520</v>
      </c>
      <c r="D23" s="132" t="s">
        <v>167</v>
      </c>
      <c r="G23" s="267"/>
    </row>
    <row r="24" spans="1:7" ht="15" customHeight="1">
      <c r="A24" s="197" t="str">
        <f>VLOOKUP(D24,'Salary Sheet'!$C$2:$AZ$57,5,FALSE)</f>
        <v>Tehreem Khalid</v>
      </c>
      <c r="B24" s="269" t="s">
        <v>248</v>
      </c>
      <c r="C24" s="204">
        <f>VLOOKUP(D24,'Salary Sheet'!$C$3:$AZ$47,50,FALSE)</f>
        <v>35020</v>
      </c>
      <c r="D24" s="132" t="s">
        <v>171</v>
      </c>
      <c r="G24" s="267"/>
    </row>
    <row r="25" spans="1:7" ht="15" customHeight="1">
      <c r="A25" s="197" t="str">
        <f>VLOOKUP(D25,'Salary Sheet'!$C$2:$AZ$57,5,FALSE)</f>
        <v>Muhammad Zain Ashraf</v>
      </c>
      <c r="B25" s="270">
        <v>11470106319768</v>
      </c>
      <c r="C25" s="204">
        <f>VLOOKUP(D25,'Salary Sheet'!$C$3:$AZ$47,50,FALSE)</f>
        <v>35020</v>
      </c>
      <c r="D25" s="132" t="s">
        <v>161</v>
      </c>
      <c r="G25" s="267"/>
    </row>
    <row r="26" spans="1:7" ht="15" customHeight="1">
      <c r="A26" s="197" t="s">
        <v>124</v>
      </c>
      <c r="B26" s="270" t="s">
        <v>323</v>
      </c>
      <c r="C26" s="204">
        <f>VLOOKUP(D26,'Salary Sheet'!$C$3:$AZ$47,50,FALSE)</f>
        <v>30520</v>
      </c>
      <c r="D26" s="132" t="s">
        <v>175</v>
      </c>
      <c r="G26" s="267"/>
    </row>
    <row r="27" spans="1:7" ht="15" customHeight="1">
      <c r="A27" s="197" t="str">
        <f>VLOOKUP(D27,'Salary Sheet'!$C$2:$AZ$57,5,FALSE)</f>
        <v>Aiman Rashid</v>
      </c>
      <c r="B27" s="270">
        <v>11330106470018</v>
      </c>
      <c r="C27" s="204">
        <f>VLOOKUP(D27,'Salary Sheet'!$C$3:$AZ$47,50,FALSE)</f>
        <v>16652</v>
      </c>
      <c r="D27" s="132" t="s">
        <v>176</v>
      </c>
      <c r="G27" s="267"/>
    </row>
    <row r="28" spans="1:7" ht="15" customHeight="1">
      <c r="A28" s="268" t="str">
        <f>VLOOKUP(D28,'Salary Sheet'!$C$2:$AZ$57,5,FALSE)</f>
        <v>Neha Bokhari</v>
      </c>
      <c r="B28" s="269" t="s">
        <v>337</v>
      </c>
      <c r="C28" s="204">
        <f>VLOOKUP(D28,'Salary Sheet'!$C$3:$AZ$47,50,FALSE)</f>
        <v>36320</v>
      </c>
      <c r="D28" s="132" t="s">
        <v>300</v>
      </c>
      <c r="G28" s="267"/>
    </row>
    <row r="29" spans="1:7" ht="15" customHeight="1">
      <c r="A29" s="197" t="str">
        <f>VLOOKUP(D29,'Salary Sheet'!$C$2:$AZ$57,5,FALSE)</f>
        <v>Syed Saad-ul-Haq</v>
      </c>
      <c r="B29" s="270" t="s">
        <v>191</v>
      </c>
      <c r="C29" s="204">
        <f>VLOOKUP(D29,'Salary Sheet'!$C$3:$AZ$47,50,FALSE)</f>
        <v>12360</v>
      </c>
      <c r="D29" s="132">
        <v>4220125175941</v>
      </c>
      <c r="G29" s="267"/>
    </row>
    <row r="30" spans="1:7" ht="15" customHeight="1">
      <c r="A30" s="197" t="str">
        <f>VLOOKUP(D30,'Salary Sheet'!$C$2:$AZ$57,5,FALSE)</f>
        <v>Amna Sana</v>
      </c>
      <c r="B30" s="270" t="s">
        <v>192</v>
      </c>
      <c r="C30" s="204">
        <f>VLOOKUP(D30,'Salary Sheet'!$C$3:$AZ$47,50,FALSE)</f>
        <v>2726</v>
      </c>
      <c r="D30" s="132">
        <v>3520248653137</v>
      </c>
      <c r="G30" s="267"/>
    </row>
    <row r="31" spans="1:7" ht="15" customHeight="1">
      <c r="A31" s="197" t="str">
        <f>VLOOKUP(D31,'Salary Sheet'!$C$2:$AZ$57,5,FALSE)</f>
        <v>Ayesha Rubab</v>
      </c>
      <c r="B31" s="270" t="s">
        <v>193</v>
      </c>
      <c r="C31" s="204">
        <f>VLOOKUP(D31,'Salary Sheet'!$C$3:$AZ$47,50,FALSE)</f>
        <v>13578</v>
      </c>
      <c r="D31" s="132" t="s">
        <v>166</v>
      </c>
      <c r="G31" s="267"/>
    </row>
    <row r="32" spans="1:7" ht="15" customHeight="1">
      <c r="A32" s="197" t="str">
        <f>VLOOKUP(D32,'Salary Sheet'!$C$2:$AZ$57,5,FALSE)</f>
        <v>Rubab Afzal</v>
      </c>
      <c r="B32" s="270" t="s">
        <v>333</v>
      </c>
      <c r="C32" s="204">
        <f>VLOOKUP(D32,'Salary Sheet'!$C$3:$AZ$47,50,FALSE)</f>
        <v>9545</v>
      </c>
      <c r="D32" s="132" t="s">
        <v>164</v>
      </c>
      <c r="G32" s="267"/>
    </row>
    <row r="33" spans="1:7" ht="15" customHeight="1">
      <c r="A33" s="197" t="str">
        <f>VLOOKUP(D33,'Salary Sheet'!$C$2:$AZ$57,5,FALSE)</f>
        <v>Fizza Javed</v>
      </c>
      <c r="B33" s="269" t="s">
        <v>342</v>
      </c>
      <c r="C33" s="204">
        <f>VLOOKUP(D33,'Salary Sheet'!$C$3:$AZ$47,50,FALSE)</f>
        <v>14250</v>
      </c>
      <c r="D33" s="263" t="s">
        <v>351</v>
      </c>
      <c r="G33" s="267"/>
    </row>
    <row r="34" spans="1:7" ht="15" customHeight="1">
      <c r="A34" s="197" t="str">
        <f>VLOOKUP(D34,'Salary Sheet'!$C$2:$AZ$57,5,FALSE)</f>
        <v>Muhammad Ather Riaz</v>
      </c>
      <c r="B34" s="269" t="s">
        <v>339</v>
      </c>
      <c r="C34" s="204">
        <f>VLOOKUP(D34,'Salary Sheet'!$C$3:$AZ$47,50,FALSE)</f>
        <v>33020</v>
      </c>
      <c r="D34" s="263" t="str">
        <f>'Salary Sheet'!C6</f>
        <v>32102-7453099-1</v>
      </c>
      <c r="G34" s="267"/>
    </row>
    <row r="35" spans="1:7" ht="15" customHeight="1">
      <c r="A35" s="197" t="str">
        <f>VLOOKUP(D35,'Salary Sheet'!$C$2:$AZ$57,5,FALSE)</f>
        <v>Muhammad Adeel Akbar</v>
      </c>
      <c r="B35" s="269" t="s">
        <v>358</v>
      </c>
      <c r="C35" s="204">
        <f>VLOOKUP(D35,'Salary Sheet'!$C$3:$AZ$47,50,FALSE)</f>
        <v>30520</v>
      </c>
      <c r="D35" s="132" t="s">
        <v>330</v>
      </c>
      <c r="G35" s="267"/>
    </row>
    <row r="36" spans="1:7" ht="15" customHeight="1">
      <c r="A36" s="197" t="str">
        <f>VLOOKUP(D36,'Salary Sheet'!$C$2:$AZ$57,5,FALSE)</f>
        <v>Zainab Aftab</v>
      </c>
      <c r="B36" s="269" t="s">
        <v>359</v>
      </c>
      <c r="C36" s="204">
        <f>VLOOKUP(D36,'Salary Sheet'!$C$3:$AZ$47,50,FALSE)</f>
        <v>9471</v>
      </c>
      <c r="D36" s="263" t="s">
        <v>317</v>
      </c>
      <c r="G36" s="267"/>
    </row>
    <row r="37" spans="1:7" ht="15" customHeight="1">
      <c r="A37" s="197" t="str">
        <f>VLOOKUP(D37,'Salary Sheet'!$C$2:$AZ$57,5,FALSE)</f>
        <v>Hiba Sohail</v>
      </c>
      <c r="B37" s="269" t="s">
        <v>361</v>
      </c>
      <c r="C37" s="204">
        <f>VLOOKUP(D37,'Salary Sheet'!$C$3:$AZ$47,50,FALSE)</f>
        <v>7908</v>
      </c>
      <c r="D37" s="263" t="s">
        <v>360</v>
      </c>
      <c r="G37" s="267"/>
    </row>
    <row r="38" spans="1:7" ht="15" customHeight="1">
      <c r="A38" s="197" t="str">
        <f>VLOOKUP(D38,'Salary Sheet'!$C$2:$AZ$57,5,FALSE)</f>
        <v>Bushra  Gohar</v>
      </c>
      <c r="B38" s="269" t="s">
        <v>362</v>
      </c>
      <c r="C38" s="204">
        <f>VLOOKUP(D38,'Salary Sheet'!$C$3:$AZ$47,50,FALSE)</f>
        <v>27336</v>
      </c>
      <c r="D38" s="263" t="s">
        <v>355</v>
      </c>
      <c r="G38" s="267"/>
    </row>
    <row r="39" spans="1:7" ht="15" customHeight="1">
      <c r="A39" s="197" t="str">
        <f>VLOOKUP(D39,'Salary Sheet'!$C$2:$AZ$57,5,FALSE)</f>
        <v>Ammar Ahmad khan Khilji</v>
      </c>
      <c r="B39" s="269">
        <v>11330106671959</v>
      </c>
      <c r="C39" s="204">
        <f>VLOOKUP(D39,'Salary Sheet'!$C$3:$AZ$47,50,FALSE)</f>
        <v>35020</v>
      </c>
      <c r="D39" s="263" t="s">
        <v>152</v>
      </c>
      <c r="G39" s="267"/>
    </row>
    <row r="40" spans="1:7" ht="15" customHeight="1">
      <c r="A40" s="197" t="str">
        <f>VLOOKUP(D40,'Salary Sheet'!$C$2:$AZ$57,5,FALSE)</f>
        <v>Ayaz Ahmad</v>
      </c>
      <c r="B40" s="269">
        <v>28020106747899</v>
      </c>
      <c r="C40" s="204">
        <f>VLOOKUP(D40,'Salary Sheet'!$C$3:$AZ$47,50,FALSE)</f>
        <v>29156</v>
      </c>
      <c r="D40" s="132" t="s">
        <v>369</v>
      </c>
      <c r="G40" s="267"/>
    </row>
    <row r="41" spans="1:7" ht="15" customHeight="1">
      <c r="A41" s="197" t="str">
        <f>VLOOKUP(D41,'Salary Sheet'!$C$2:$AZ$57,5,FALSE)</f>
        <v>Zohaib Tahir</v>
      </c>
      <c r="B41" s="269">
        <v>11330106689179</v>
      </c>
      <c r="C41" s="204">
        <f>VLOOKUP(D41,'Salary Sheet'!$C$3:$AZ$47,50,FALSE)</f>
        <v>26200</v>
      </c>
      <c r="D41" s="271" t="s">
        <v>158</v>
      </c>
      <c r="G41" s="267"/>
    </row>
    <row r="42" spans="1:7" ht="15" customHeight="1">
      <c r="A42" s="197" t="str">
        <f>VLOOKUP(D42,'Salary Sheet'!$C$2:$AZ$57,5,FALSE)</f>
        <v>Abdul  Rehman</v>
      </c>
      <c r="B42" s="269" t="s">
        <v>377</v>
      </c>
      <c r="C42" s="204">
        <f>VLOOKUP(D42,'Salary Sheet'!$C$3:$AZ$47,50,FALSE)</f>
        <v>27792</v>
      </c>
      <c r="D42" t="s">
        <v>376</v>
      </c>
      <c r="G42" s="267"/>
    </row>
    <row r="43" spans="1:7" ht="15" customHeight="1">
      <c r="A43" s="197" t="str">
        <f>VLOOKUP(D43,'Salary Sheet'!$C$2:$AZ$57,5,FALSE)</f>
        <v>Muhammad Ahmad Awais</v>
      </c>
      <c r="B43" s="269" t="s">
        <v>350</v>
      </c>
      <c r="C43" s="204">
        <f>VLOOKUP(D43,'Salary Sheet'!$C$3:$AZ$47,50,FALSE)</f>
        <v>30520</v>
      </c>
      <c r="D43" t="s">
        <v>375</v>
      </c>
      <c r="G43" s="267"/>
    </row>
    <row r="44" spans="1:7" ht="15" customHeight="1">
      <c r="A44" s="197" t="str">
        <f>VLOOKUP(D44,'Salary Sheet'!$C$2:$AZ$57,5,FALSE)</f>
        <v>Moughees Hasan Raza</v>
      </c>
      <c r="B44" s="272" t="s">
        <v>390</v>
      </c>
      <c r="C44" s="204">
        <f>VLOOKUP(D44,'Salary Sheet'!$C$3:$AZ$47,50,FALSE)</f>
        <v>30520</v>
      </c>
      <c r="D44" s="132" t="s">
        <v>348</v>
      </c>
      <c r="G44" s="267"/>
    </row>
    <row r="45" spans="1:7" ht="15" customHeight="1">
      <c r="A45" s="198" t="s">
        <v>19</v>
      </c>
      <c r="B45" s="199"/>
      <c r="C45" s="200">
        <f>SUM(C18:C44)</f>
        <v>689074</v>
      </c>
    </row>
    <row r="46" spans="1:7" ht="16.5">
      <c r="A46" s="191"/>
      <c r="B46" s="192"/>
      <c r="C46" s="192"/>
    </row>
    <row r="47" spans="1:7" ht="16.5">
      <c r="A47" s="191"/>
      <c r="B47" s="192"/>
      <c r="C47" s="192"/>
    </row>
    <row r="48" spans="1:7">
      <c r="A48" s="203" t="s">
        <v>239</v>
      </c>
      <c r="B48" s="192"/>
      <c r="C48" s="192"/>
    </row>
    <row r="49" spans="1:3">
      <c r="A49" s="203"/>
      <c r="B49" s="192"/>
      <c r="C49" s="192"/>
    </row>
    <row r="50" spans="1:3">
      <c r="A50" s="203"/>
      <c r="B50" s="192"/>
      <c r="C50" s="192"/>
    </row>
    <row r="51" spans="1:3">
      <c r="A51" s="203" t="s">
        <v>240</v>
      </c>
      <c r="B51" s="192"/>
      <c r="C51" s="192"/>
    </row>
    <row r="52" spans="1:3">
      <c r="A52" s="203" t="s">
        <v>244</v>
      </c>
      <c r="B52" s="192"/>
      <c r="C52" s="192"/>
    </row>
    <row r="53" spans="1:3" ht="16.5">
      <c r="A53" s="191"/>
      <c r="C53" s="192"/>
    </row>
    <row r="54" spans="1:3">
      <c r="A54" s="202"/>
    </row>
    <row r="55" spans="1:3" ht="17.25">
      <c r="A55" s="188"/>
    </row>
  </sheetData>
  <mergeCells count="2">
    <mergeCell ref="A10:C10"/>
    <mergeCell ref="A14:C15"/>
  </mergeCells>
  <conditionalFormatting sqref="D45:D1048576 D29:D32 D1:D24">
    <cfRule type="duplicateValues" dxfId="41" priority="56"/>
  </conditionalFormatting>
  <conditionalFormatting sqref="D45:D1048576 D29:D32 D1:D25">
    <cfRule type="duplicateValues" dxfId="40" priority="55"/>
  </conditionalFormatting>
  <conditionalFormatting sqref="A19">
    <cfRule type="duplicateValues" dxfId="39" priority="48"/>
    <cfRule type="duplicateValues" dxfId="38" priority="49"/>
  </conditionalFormatting>
  <conditionalFormatting sqref="A20">
    <cfRule type="duplicateValues" dxfId="37" priority="46"/>
    <cfRule type="duplicateValues" dxfId="36" priority="47"/>
  </conditionalFormatting>
  <conditionalFormatting sqref="D33">
    <cfRule type="duplicateValues" dxfId="35" priority="45"/>
  </conditionalFormatting>
  <conditionalFormatting sqref="D34">
    <cfRule type="duplicateValues" dxfId="34" priority="44"/>
  </conditionalFormatting>
  <conditionalFormatting sqref="D35">
    <cfRule type="duplicateValues" dxfId="33" priority="43"/>
  </conditionalFormatting>
  <conditionalFormatting sqref="D35">
    <cfRule type="duplicateValues" dxfId="32" priority="41"/>
    <cfRule type="duplicateValues" dxfId="31" priority="42"/>
  </conditionalFormatting>
  <conditionalFormatting sqref="A2 A14:A17 A12 A10 A4:A8 A19:A1048576">
    <cfRule type="duplicateValues" dxfId="30" priority="40"/>
  </conditionalFormatting>
  <conditionalFormatting sqref="D45:D1048576 D1:D35">
    <cfRule type="duplicateValues" dxfId="29" priority="39"/>
  </conditionalFormatting>
  <conditionalFormatting sqref="B44:B1048576 B1:B41">
    <cfRule type="duplicateValues" dxfId="28" priority="38"/>
  </conditionalFormatting>
  <conditionalFormatting sqref="D36">
    <cfRule type="duplicateValues" dxfId="27" priority="31"/>
  </conditionalFormatting>
  <conditionalFormatting sqref="D36">
    <cfRule type="duplicateValues" dxfId="26" priority="29"/>
    <cfRule type="duplicateValues" dxfId="25" priority="30"/>
  </conditionalFormatting>
  <conditionalFormatting sqref="D37">
    <cfRule type="duplicateValues" dxfId="24" priority="28"/>
  </conditionalFormatting>
  <conditionalFormatting sqref="D37">
    <cfRule type="duplicateValues" dxfId="23" priority="26"/>
    <cfRule type="duplicateValues" dxfId="22" priority="27"/>
  </conditionalFormatting>
  <conditionalFormatting sqref="D40">
    <cfRule type="duplicateValues" dxfId="21" priority="19"/>
  </conditionalFormatting>
  <conditionalFormatting sqref="D40">
    <cfRule type="duplicateValues" dxfId="20" priority="17"/>
    <cfRule type="duplicateValues" dxfId="19" priority="18"/>
  </conditionalFormatting>
  <conditionalFormatting sqref="D41 D38:D39">
    <cfRule type="duplicateValues" dxfId="18" priority="14041"/>
  </conditionalFormatting>
  <conditionalFormatting sqref="D41 D38:D39">
    <cfRule type="duplicateValues" dxfId="17" priority="14043"/>
    <cfRule type="duplicateValues" dxfId="16" priority="14044"/>
  </conditionalFormatting>
  <conditionalFormatting sqref="D41 D18:D39">
    <cfRule type="duplicateValues" dxfId="15" priority="14050"/>
  </conditionalFormatting>
  <conditionalFormatting sqref="D44">
    <cfRule type="duplicateValues" dxfId="14" priority="9"/>
  </conditionalFormatting>
  <conditionalFormatting sqref="D44">
    <cfRule type="duplicateValues" dxfId="13" priority="7"/>
    <cfRule type="duplicateValues" dxfId="12" priority="8"/>
  </conditionalFormatting>
  <conditionalFormatting sqref="B18:B41 B44">
    <cfRule type="duplicateValues" dxfId="11" priority="14285"/>
  </conditionalFormatting>
  <conditionalFormatting sqref="D42:D43">
    <cfRule type="duplicateValues" dxfId="10" priority="3"/>
  </conditionalFormatting>
  <conditionalFormatting sqref="D42:D43">
    <cfRule type="duplicateValues" dxfId="9" priority="4"/>
    <cfRule type="duplicateValues" dxfId="8" priority="5"/>
  </conditionalFormatting>
  <conditionalFormatting sqref="B42:B43">
    <cfRule type="duplicateValues" dxfId="7" priority="1"/>
  </conditionalFormatting>
  <conditionalFormatting sqref="B42:B43">
    <cfRule type="duplicateValues" dxfId="6" priority="2"/>
  </conditionalFormatting>
  <conditionalFormatting sqref="A21:A44">
    <cfRule type="duplicateValues" dxfId="5" priority="14311"/>
    <cfRule type="duplicateValues" dxfId="4" priority="14312"/>
  </conditionalFormatting>
  <conditionalFormatting sqref="A18:A44">
    <cfRule type="duplicateValues" dxfId="3" priority="14315"/>
    <cfRule type="duplicateValues" dxfId="2" priority="14316"/>
    <cfRule type="duplicateValues" dxfId="1" priority="14317"/>
  </conditionalFormatting>
  <pageMargins left="0.70866141732283472" right="0.70866141732283472" top="0.74803149606299213" bottom="0.59055118110236227" header="0.31496062992125984" footer="0.59055118110236227"/>
  <pageSetup scale="72" orientation="portrait" r:id="rId1"/>
  <headerFooter>
    <oddFooter>&amp;LRegistered Address: Building No. A 8/2 First Floor, Commercial Area, H Block, Valencia Town Lahore.</oddFooter>
  </headerFooter>
  <ignoredErrors>
    <ignoredError sqref="B21 B32 B26 B28:B31 B34:B35 B33 B22:B24 B36:B38 B42:B4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8"/>
  <sheetViews>
    <sheetView view="pageBreakPreview" topLeftCell="B1" zoomScaleNormal="100" zoomScaleSheetLayoutView="100" workbookViewId="0">
      <selection activeCell="H7" sqref="H7"/>
    </sheetView>
  </sheetViews>
  <sheetFormatPr defaultRowHeight="15"/>
  <cols>
    <col min="1" max="1" width="13.140625" style="246" customWidth="1"/>
    <col min="2" max="2" width="13.7109375" style="246" customWidth="1"/>
    <col min="3" max="4" width="8.85546875" style="246"/>
    <col min="5" max="5" width="16.28515625" style="246" customWidth="1"/>
    <col min="6" max="6" width="6.85546875" style="246" customWidth="1"/>
    <col min="7" max="7" width="18.42578125" style="246" customWidth="1"/>
    <col min="8" max="8" width="17.28515625" style="246" customWidth="1"/>
    <col min="9" max="9" width="8.85546875" style="246" customWidth="1"/>
    <col min="10" max="10" width="5.42578125" style="246" customWidth="1"/>
    <col min="11" max="11" width="9.28515625" style="246" bestFit="1" customWidth="1"/>
    <col min="12" max="12" width="10.5703125" style="246" bestFit="1" customWidth="1"/>
    <col min="13" max="13" width="20.7109375" style="247" bestFit="1" customWidth="1"/>
    <col min="14" max="14" width="11.5703125" style="246" bestFit="1" customWidth="1"/>
    <col min="15" max="15" width="12.85546875" style="246" bestFit="1" customWidth="1"/>
    <col min="16" max="16" width="9.5703125" style="246" bestFit="1" customWidth="1"/>
    <col min="17" max="19" width="8.85546875" style="246"/>
    <col min="20" max="20" width="12.85546875" style="246" bestFit="1" customWidth="1"/>
    <col min="21" max="256" width="8.85546875" style="246"/>
    <col min="257" max="257" width="13.140625" style="246" customWidth="1"/>
    <col min="258" max="258" width="13.7109375" style="246" customWidth="1"/>
    <col min="259" max="260" width="8.85546875" style="246"/>
    <col min="261" max="261" width="16.28515625" style="246" customWidth="1"/>
    <col min="262" max="262" width="6.85546875" style="246" customWidth="1"/>
    <col min="263" max="263" width="18.42578125" style="246" customWidth="1"/>
    <col min="264" max="264" width="14" style="246" customWidth="1"/>
    <col min="265" max="265" width="8.85546875" style="246"/>
    <col min="266" max="266" width="5.42578125" style="246" customWidth="1"/>
    <col min="267" max="267" width="9.28515625" style="246" bestFit="1" customWidth="1"/>
    <col min="268" max="268" width="10.5703125" style="246" bestFit="1" customWidth="1"/>
    <col min="269" max="269" width="20.7109375" style="246" bestFit="1" customWidth="1"/>
    <col min="270" max="270" width="11.5703125" style="246" bestFit="1" customWidth="1"/>
    <col min="271" max="271" width="12.85546875" style="246" bestFit="1" customWidth="1"/>
    <col min="272" max="272" width="9.5703125" style="246" bestFit="1" customWidth="1"/>
    <col min="273" max="275" width="8.85546875" style="246"/>
    <col min="276" max="276" width="12.85546875" style="246" bestFit="1" customWidth="1"/>
    <col min="277" max="512" width="8.85546875" style="246"/>
    <col min="513" max="513" width="13.140625" style="246" customWidth="1"/>
    <col min="514" max="514" width="13.7109375" style="246" customWidth="1"/>
    <col min="515" max="516" width="8.85546875" style="246"/>
    <col min="517" max="517" width="16.28515625" style="246" customWidth="1"/>
    <col min="518" max="518" width="6.85546875" style="246" customWidth="1"/>
    <col min="519" max="519" width="18.42578125" style="246" customWidth="1"/>
    <col min="520" max="520" width="14" style="246" customWidth="1"/>
    <col min="521" max="521" width="8.85546875" style="246"/>
    <col min="522" max="522" width="5.42578125" style="246" customWidth="1"/>
    <col min="523" max="523" width="9.28515625" style="246" bestFit="1" customWidth="1"/>
    <col min="524" max="524" width="10.5703125" style="246" bestFit="1" customWidth="1"/>
    <col min="525" max="525" width="20.7109375" style="246" bestFit="1" customWidth="1"/>
    <col min="526" max="526" width="11.5703125" style="246" bestFit="1" customWidth="1"/>
    <col min="527" max="527" width="12.85546875" style="246" bestFit="1" customWidth="1"/>
    <col min="528" max="528" width="9.5703125" style="246" bestFit="1" customWidth="1"/>
    <col min="529" max="531" width="8.85546875" style="246"/>
    <col min="532" max="532" width="12.85546875" style="246" bestFit="1" customWidth="1"/>
    <col min="533" max="768" width="8.85546875" style="246"/>
    <col min="769" max="769" width="13.140625" style="246" customWidth="1"/>
    <col min="770" max="770" width="13.7109375" style="246" customWidth="1"/>
    <col min="771" max="772" width="8.85546875" style="246"/>
    <col min="773" max="773" width="16.28515625" style="246" customWidth="1"/>
    <col min="774" max="774" width="6.85546875" style="246" customWidth="1"/>
    <col min="775" max="775" width="18.42578125" style="246" customWidth="1"/>
    <col min="776" max="776" width="14" style="246" customWidth="1"/>
    <col min="777" max="777" width="8.85546875" style="246"/>
    <col min="778" max="778" width="5.42578125" style="246" customWidth="1"/>
    <col min="779" max="779" width="9.28515625" style="246" bestFit="1" customWidth="1"/>
    <col min="780" max="780" width="10.5703125" style="246" bestFit="1" customWidth="1"/>
    <col min="781" max="781" width="20.7109375" style="246" bestFit="1" customWidth="1"/>
    <col min="782" max="782" width="11.5703125" style="246" bestFit="1" customWidth="1"/>
    <col min="783" max="783" width="12.85546875" style="246" bestFit="1" customWidth="1"/>
    <col min="784" max="784" width="9.5703125" style="246" bestFit="1" customWidth="1"/>
    <col min="785" max="787" width="8.85546875" style="246"/>
    <col min="788" max="788" width="12.85546875" style="246" bestFit="1" customWidth="1"/>
    <col min="789" max="1024" width="8.85546875" style="246"/>
    <col min="1025" max="1025" width="13.140625" style="246" customWidth="1"/>
    <col min="1026" max="1026" width="13.7109375" style="246" customWidth="1"/>
    <col min="1027" max="1028" width="8.85546875" style="246"/>
    <col min="1029" max="1029" width="16.28515625" style="246" customWidth="1"/>
    <col min="1030" max="1030" width="6.85546875" style="246" customWidth="1"/>
    <col min="1031" max="1031" width="18.42578125" style="246" customWidth="1"/>
    <col min="1032" max="1032" width="14" style="246" customWidth="1"/>
    <col min="1033" max="1033" width="8.85546875" style="246"/>
    <col min="1034" max="1034" width="5.42578125" style="246" customWidth="1"/>
    <col min="1035" max="1035" width="9.28515625" style="246" bestFit="1" customWidth="1"/>
    <col min="1036" max="1036" width="10.5703125" style="246" bestFit="1" customWidth="1"/>
    <col min="1037" max="1037" width="20.7109375" style="246" bestFit="1" customWidth="1"/>
    <col min="1038" max="1038" width="11.5703125" style="246" bestFit="1" customWidth="1"/>
    <col min="1039" max="1039" width="12.85546875" style="246" bestFit="1" customWidth="1"/>
    <col min="1040" max="1040" width="9.5703125" style="246" bestFit="1" customWidth="1"/>
    <col min="1041" max="1043" width="8.85546875" style="246"/>
    <col min="1044" max="1044" width="12.85546875" style="246" bestFit="1" customWidth="1"/>
    <col min="1045" max="1280" width="8.85546875" style="246"/>
    <col min="1281" max="1281" width="13.140625" style="246" customWidth="1"/>
    <col min="1282" max="1282" width="13.7109375" style="246" customWidth="1"/>
    <col min="1283" max="1284" width="8.85546875" style="246"/>
    <col min="1285" max="1285" width="16.28515625" style="246" customWidth="1"/>
    <col min="1286" max="1286" width="6.85546875" style="246" customWidth="1"/>
    <col min="1287" max="1287" width="18.42578125" style="246" customWidth="1"/>
    <col min="1288" max="1288" width="14" style="246" customWidth="1"/>
    <col min="1289" max="1289" width="8.85546875" style="246"/>
    <col min="1290" max="1290" width="5.42578125" style="246" customWidth="1"/>
    <col min="1291" max="1291" width="9.28515625" style="246" bestFit="1" customWidth="1"/>
    <col min="1292" max="1292" width="10.5703125" style="246" bestFit="1" customWidth="1"/>
    <col min="1293" max="1293" width="20.7109375" style="246" bestFit="1" customWidth="1"/>
    <col min="1294" max="1294" width="11.5703125" style="246" bestFit="1" customWidth="1"/>
    <col min="1295" max="1295" width="12.85546875" style="246" bestFit="1" customWidth="1"/>
    <col min="1296" max="1296" width="9.5703125" style="246" bestFit="1" customWidth="1"/>
    <col min="1297" max="1299" width="8.85546875" style="246"/>
    <col min="1300" max="1300" width="12.85546875" style="246" bestFit="1" customWidth="1"/>
    <col min="1301" max="1536" width="8.85546875" style="246"/>
    <col min="1537" max="1537" width="13.140625" style="246" customWidth="1"/>
    <col min="1538" max="1538" width="13.7109375" style="246" customWidth="1"/>
    <col min="1539" max="1540" width="8.85546875" style="246"/>
    <col min="1541" max="1541" width="16.28515625" style="246" customWidth="1"/>
    <col min="1542" max="1542" width="6.85546875" style="246" customWidth="1"/>
    <col min="1543" max="1543" width="18.42578125" style="246" customWidth="1"/>
    <col min="1544" max="1544" width="14" style="246" customWidth="1"/>
    <col min="1545" max="1545" width="8.85546875" style="246"/>
    <col min="1546" max="1546" width="5.42578125" style="246" customWidth="1"/>
    <col min="1547" max="1547" width="9.28515625" style="246" bestFit="1" customWidth="1"/>
    <col min="1548" max="1548" width="10.5703125" style="246" bestFit="1" customWidth="1"/>
    <col min="1549" max="1549" width="20.7109375" style="246" bestFit="1" customWidth="1"/>
    <col min="1550" max="1550" width="11.5703125" style="246" bestFit="1" customWidth="1"/>
    <col min="1551" max="1551" width="12.85546875" style="246" bestFit="1" customWidth="1"/>
    <col min="1552" max="1552" width="9.5703125" style="246" bestFit="1" customWidth="1"/>
    <col min="1553" max="1555" width="8.85546875" style="246"/>
    <col min="1556" max="1556" width="12.85546875" style="246" bestFit="1" customWidth="1"/>
    <col min="1557" max="1792" width="8.85546875" style="246"/>
    <col min="1793" max="1793" width="13.140625" style="246" customWidth="1"/>
    <col min="1794" max="1794" width="13.7109375" style="246" customWidth="1"/>
    <col min="1795" max="1796" width="8.85546875" style="246"/>
    <col min="1797" max="1797" width="16.28515625" style="246" customWidth="1"/>
    <col min="1798" max="1798" width="6.85546875" style="246" customWidth="1"/>
    <col min="1799" max="1799" width="18.42578125" style="246" customWidth="1"/>
    <col min="1800" max="1800" width="14" style="246" customWidth="1"/>
    <col min="1801" max="1801" width="8.85546875" style="246"/>
    <col min="1802" max="1802" width="5.42578125" style="246" customWidth="1"/>
    <col min="1803" max="1803" width="9.28515625" style="246" bestFit="1" customWidth="1"/>
    <col min="1804" max="1804" width="10.5703125" style="246" bestFit="1" customWidth="1"/>
    <col min="1805" max="1805" width="20.7109375" style="246" bestFit="1" customWidth="1"/>
    <col min="1806" max="1806" width="11.5703125" style="246" bestFit="1" customWidth="1"/>
    <col min="1807" max="1807" width="12.85546875" style="246" bestFit="1" customWidth="1"/>
    <col min="1808" max="1808" width="9.5703125" style="246" bestFit="1" customWidth="1"/>
    <col min="1809" max="1811" width="8.85546875" style="246"/>
    <col min="1812" max="1812" width="12.85546875" style="246" bestFit="1" customWidth="1"/>
    <col min="1813" max="2048" width="8.85546875" style="246"/>
    <col min="2049" max="2049" width="13.140625" style="246" customWidth="1"/>
    <col min="2050" max="2050" width="13.7109375" style="246" customWidth="1"/>
    <col min="2051" max="2052" width="8.85546875" style="246"/>
    <col min="2053" max="2053" width="16.28515625" style="246" customWidth="1"/>
    <col min="2054" max="2054" width="6.85546875" style="246" customWidth="1"/>
    <col min="2055" max="2055" width="18.42578125" style="246" customWidth="1"/>
    <col min="2056" max="2056" width="14" style="246" customWidth="1"/>
    <col min="2057" max="2057" width="8.85546875" style="246"/>
    <col min="2058" max="2058" width="5.42578125" style="246" customWidth="1"/>
    <col min="2059" max="2059" width="9.28515625" style="246" bestFit="1" customWidth="1"/>
    <col min="2060" max="2060" width="10.5703125" style="246" bestFit="1" customWidth="1"/>
    <col min="2061" max="2061" width="20.7109375" style="246" bestFit="1" customWidth="1"/>
    <col min="2062" max="2062" width="11.5703125" style="246" bestFit="1" customWidth="1"/>
    <col min="2063" max="2063" width="12.85546875" style="246" bestFit="1" customWidth="1"/>
    <col min="2064" max="2064" width="9.5703125" style="246" bestFit="1" customWidth="1"/>
    <col min="2065" max="2067" width="8.85546875" style="246"/>
    <col min="2068" max="2068" width="12.85546875" style="246" bestFit="1" customWidth="1"/>
    <col min="2069" max="2304" width="8.85546875" style="246"/>
    <col min="2305" max="2305" width="13.140625" style="246" customWidth="1"/>
    <col min="2306" max="2306" width="13.7109375" style="246" customWidth="1"/>
    <col min="2307" max="2308" width="8.85546875" style="246"/>
    <col min="2309" max="2309" width="16.28515625" style="246" customWidth="1"/>
    <col min="2310" max="2310" width="6.85546875" style="246" customWidth="1"/>
    <col min="2311" max="2311" width="18.42578125" style="246" customWidth="1"/>
    <col min="2312" max="2312" width="14" style="246" customWidth="1"/>
    <col min="2313" max="2313" width="8.85546875" style="246"/>
    <col min="2314" max="2314" width="5.42578125" style="246" customWidth="1"/>
    <col min="2315" max="2315" width="9.28515625" style="246" bestFit="1" customWidth="1"/>
    <col min="2316" max="2316" width="10.5703125" style="246" bestFit="1" customWidth="1"/>
    <col min="2317" max="2317" width="20.7109375" style="246" bestFit="1" customWidth="1"/>
    <col min="2318" max="2318" width="11.5703125" style="246" bestFit="1" customWidth="1"/>
    <col min="2319" max="2319" width="12.85546875" style="246" bestFit="1" customWidth="1"/>
    <col min="2320" max="2320" width="9.5703125" style="246" bestFit="1" customWidth="1"/>
    <col min="2321" max="2323" width="8.85546875" style="246"/>
    <col min="2324" max="2324" width="12.85546875" style="246" bestFit="1" customWidth="1"/>
    <col min="2325" max="2560" width="8.85546875" style="246"/>
    <col min="2561" max="2561" width="13.140625" style="246" customWidth="1"/>
    <col min="2562" max="2562" width="13.7109375" style="246" customWidth="1"/>
    <col min="2563" max="2564" width="8.85546875" style="246"/>
    <col min="2565" max="2565" width="16.28515625" style="246" customWidth="1"/>
    <col min="2566" max="2566" width="6.85546875" style="246" customWidth="1"/>
    <col min="2567" max="2567" width="18.42578125" style="246" customWidth="1"/>
    <col min="2568" max="2568" width="14" style="246" customWidth="1"/>
    <col min="2569" max="2569" width="8.85546875" style="246"/>
    <col min="2570" max="2570" width="5.42578125" style="246" customWidth="1"/>
    <col min="2571" max="2571" width="9.28515625" style="246" bestFit="1" customWidth="1"/>
    <col min="2572" max="2572" width="10.5703125" style="246" bestFit="1" customWidth="1"/>
    <col min="2573" max="2573" width="20.7109375" style="246" bestFit="1" customWidth="1"/>
    <col min="2574" max="2574" width="11.5703125" style="246" bestFit="1" customWidth="1"/>
    <col min="2575" max="2575" width="12.85546875" style="246" bestFit="1" customWidth="1"/>
    <col min="2576" max="2576" width="9.5703125" style="246" bestFit="1" customWidth="1"/>
    <col min="2577" max="2579" width="8.85546875" style="246"/>
    <col min="2580" max="2580" width="12.85546875" style="246" bestFit="1" customWidth="1"/>
    <col min="2581" max="2816" width="8.85546875" style="246"/>
    <col min="2817" max="2817" width="13.140625" style="246" customWidth="1"/>
    <col min="2818" max="2818" width="13.7109375" style="246" customWidth="1"/>
    <col min="2819" max="2820" width="8.85546875" style="246"/>
    <col min="2821" max="2821" width="16.28515625" style="246" customWidth="1"/>
    <col min="2822" max="2822" width="6.85546875" style="246" customWidth="1"/>
    <col min="2823" max="2823" width="18.42578125" style="246" customWidth="1"/>
    <col min="2824" max="2824" width="14" style="246" customWidth="1"/>
    <col min="2825" max="2825" width="8.85546875" style="246"/>
    <col min="2826" max="2826" width="5.42578125" style="246" customWidth="1"/>
    <col min="2827" max="2827" width="9.28515625" style="246" bestFit="1" customWidth="1"/>
    <col min="2828" max="2828" width="10.5703125" style="246" bestFit="1" customWidth="1"/>
    <col min="2829" max="2829" width="20.7109375" style="246" bestFit="1" customWidth="1"/>
    <col min="2830" max="2830" width="11.5703125" style="246" bestFit="1" customWidth="1"/>
    <col min="2831" max="2831" width="12.85546875" style="246" bestFit="1" customWidth="1"/>
    <col min="2832" max="2832" width="9.5703125" style="246" bestFit="1" customWidth="1"/>
    <col min="2833" max="2835" width="8.85546875" style="246"/>
    <col min="2836" max="2836" width="12.85546875" style="246" bestFit="1" customWidth="1"/>
    <col min="2837" max="3072" width="8.85546875" style="246"/>
    <col min="3073" max="3073" width="13.140625" style="246" customWidth="1"/>
    <col min="3074" max="3074" width="13.7109375" style="246" customWidth="1"/>
    <col min="3075" max="3076" width="8.85546875" style="246"/>
    <col min="3077" max="3077" width="16.28515625" style="246" customWidth="1"/>
    <col min="3078" max="3078" width="6.85546875" style="246" customWidth="1"/>
    <col min="3079" max="3079" width="18.42578125" style="246" customWidth="1"/>
    <col min="3080" max="3080" width="14" style="246" customWidth="1"/>
    <col min="3081" max="3081" width="8.85546875" style="246"/>
    <col min="3082" max="3082" width="5.42578125" style="246" customWidth="1"/>
    <col min="3083" max="3083" width="9.28515625" style="246" bestFit="1" customWidth="1"/>
    <col min="3084" max="3084" width="10.5703125" style="246" bestFit="1" customWidth="1"/>
    <col min="3085" max="3085" width="20.7109375" style="246" bestFit="1" customWidth="1"/>
    <col min="3086" max="3086" width="11.5703125" style="246" bestFit="1" customWidth="1"/>
    <col min="3087" max="3087" width="12.85546875" style="246" bestFit="1" customWidth="1"/>
    <col min="3088" max="3088" width="9.5703125" style="246" bestFit="1" customWidth="1"/>
    <col min="3089" max="3091" width="8.85546875" style="246"/>
    <col min="3092" max="3092" width="12.85546875" style="246" bestFit="1" customWidth="1"/>
    <col min="3093" max="3328" width="8.85546875" style="246"/>
    <col min="3329" max="3329" width="13.140625" style="246" customWidth="1"/>
    <col min="3330" max="3330" width="13.7109375" style="246" customWidth="1"/>
    <col min="3331" max="3332" width="8.85546875" style="246"/>
    <col min="3333" max="3333" width="16.28515625" style="246" customWidth="1"/>
    <col min="3334" max="3334" width="6.85546875" style="246" customWidth="1"/>
    <col min="3335" max="3335" width="18.42578125" style="246" customWidth="1"/>
    <col min="3336" max="3336" width="14" style="246" customWidth="1"/>
    <col min="3337" max="3337" width="8.85546875" style="246"/>
    <col min="3338" max="3338" width="5.42578125" style="246" customWidth="1"/>
    <col min="3339" max="3339" width="9.28515625" style="246" bestFit="1" customWidth="1"/>
    <col min="3340" max="3340" width="10.5703125" style="246" bestFit="1" customWidth="1"/>
    <col min="3341" max="3341" width="20.7109375" style="246" bestFit="1" customWidth="1"/>
    <col min="3342" max="3342" width="11.5703125" style="246" bestFit="1" customWidth="1"/>
    <col min="3343" max="3343" width="12.85546875" style="246" bestFit="1" customWidth="1"/>
    <col min="3344" max="3344" width="9.5703125" style="246" bestFit="1" customWidth="1"/>
    <col min="3345" max="3347" width="8.85546875" style="246"/>
    <col min="3348" max="3348" width="12.85546875" style="246" bestFit="1" customWidth="1"/>
    <col min="3349" max="3584" width="8.85546875" style="246"/>
    <col min="3585" max="3585" width="13.140625" style="246" customWidth="1"/>
    <col min="3586" max="3586" width="13.7109375" style="246" customWidth="1"/>
    <col min="3587" max="3588" width="8.85546875" style="246"/>
    <col min="3589" max="3589" width="16.28515625" style="246" customWidth="1"/>
    <col min="3590" max="3590" width="6.85546875" style="246" customWidth="1"/>
    <col min="3591" max="3591" width="18.42578125" style="246" customWidth="1"/>
    <col min="3592" max="3592" width="14" style="246" customWidth="1"/>
    <col min="3593" max="3593" width="8.85546875" style="246"/>
    <col min="3594" max="3594" width="5.42578125" style="246" customWidth="1"/>
    <col min="3595" max="3595" width="9.28515625" style="246" bestFit="1" customWidth="1"/>
    <col min="3596" max="3596" width="10.5703125" style="246" bestFit="1" customWidth="1"/>
    <col min="3597" max="3597" width="20.7109375" style="246" bestFit="1" customWidth="1"/>
    <col min="3598" max="3598" width="11.5703125" style="246" bestFit="1" customWidth="1"/>
    <col min="3599" max="3599" width="12.85546875" style="246" bestFit="1" customWidth="1"/>
    <col min="3600" max="3600" width="9.5703125" style="246" bestFit="1" customWidth="1"/>
    <col min="3601" max="3603" width="8.85546875" style="246"/>
    <col min="3604" max="3604" width="12.85546875" style="246" bestFit="1" customWidth="1"/>
    <col min="3605" max="3840" width="8.85546875" style="246"/>
    <col min="3841" max="3841" width="13.140625" style="246" customWidth="1"/>
    <col min="3842" max="3842" width="13.7109375" style="246" customWidth="1"/>
    <col min="3843" max="3844" width="8.85546875" style="246"/>
    <col min="3845" max="3845" width="16.28515625" style="246" customWidth="1"/>
    <col min="3846" max="3846" width="6.85546875" style="246" customWidth="1"/>
    <col min="3847" max="3847" width="18.42578125" style="246" customWidth="1"/>
    <col min="3848" max="3848" width="14" style="246" customWidth="1"/>
    <col min="3849" max="3849" width="8.85546875" style="246"/>
    <col min="3850" max="3850" width="5.42578125" style="246" customWidth="1"/>
    <col min="3851" max="3851" width="9.28515625" style="246" bestFit="1" customWidth="1"/>
    <col min="3852" max="3852" width="10.5703125" style="246" bestFit="1" customWidth="1"/>
    <col min="3853" max="3853" width="20.7109375" style="246" bestFit="1" customWidth="1"/>
    <col min="3854" max="3854" width="11.5703125" style="246" bestFit="1" customWidth="1"/>
    <col min="3855" max="3855" width="12.85546875" style="246" bestFit="1" customWidth="1"/>
    <col min="3856" max="3856" width="9.5703125" style="246" bestFit="1" customWidth="1"/>
    <col min="3857" max="3859" width="8.85546875" style="246"/>
    <col min="3860" max="3860" width="12.85546875" style="246" bestFit="1" customWidth="1"/>
    <col min="3861" max="4096" width="8.85546875" style="246"/>
    <col min="4097" max="4097" width="13.140625" style="246" customWidth="1"/>
    <col min="4098" max="4098" width="13.7109375" style="246" customWidth="1"/>
    <col min="4099" max="4100" width="8.85546875" style="246"/>
    <col min="4101" max="4101" width="16.28515625" style="246" customWidth="1"/>
    <col min="4102" max="4102" width="6.85546875" style="246" customWidth="1"/>
    <col min="4103" max="4103" width="18.42578125" style="246" customWidth="1"/>
    <col min="4104" max="4104" width="14" style="246" customWidth="1"/>
    <col min="4105" max="4105" width="8.85546875" style="246"/>
    <col min="4106" max="4106" width="5.42578125" style="246" customWidth="1"/>
    <col min="4107" max="4107" width="9.28515625" style="246" bestFit="1" customWidth="1"/>
    <col min="4108" max="4108" width="10.5703125" style="246" bestFit="1" customWidth="1"/>
    <col min="4109" max="4109" width="20.7109375" style="246" bestFit="1" customWidth="1"/>
    <col min="4110" max="4110" width="11.5703125" style="246" bestFit="1" customWidth="1"/>
    <col min="4111" max="4111" width="12.85546875" style="246" bestFit="1" customWidth="1"/>
    <col min="4112" max="4112" width="9.5703125" style="246" bestFit="1" customWidth="1"/>
    <col min="4113" max="4115" width="8.85546875" style="246"/>
    <col min="4116" max="4116" width="12.85546875" style="246" bestFit="1" customWidth="1"/>
    <col min="4117" max="4352" width="8.85546875" style="246"/>
    <col min="4353" max="4353" width="13.140625" style="246" customWidth="1"/>
    <col min="4354" max="4354" width="13.7109375" style="246" customWidth="1"/>
    <col min="4355" max="4356" width="8.85546875" style="246"/>
    <col min="4357" max="4357" width="16.28515625" style="246" customWidth="1"/>
    <col min="4358" max="4358" width="6.85546875" style="246" customWidth="1"/>
    <col min="4359" max="4359" width="18.42578125" style="246" customWidth="1"/>
    <col min="4360" max="4360" width="14" style="246" customWidth="1"/>
    <col min="4361" max="4361" width="8.85546875" style="246"/>
    <col min="4362" max="4362" width="5.42578125" style="246" customWidth="1"/>
    <col min="4363" max="4363" width="9.28515625" style="246" bestFit="1" customWidth="1"/>
    <col min="4364" max="4364" width="10.5703125" style="246" bestFit="1" customWidth="1"/>
    <col min="4365" max="4365" width="20.7109375" style="246" bestFit="1" customWidth="1"/>
    <col min="4366" max="4366" width="11.5703125" style="246" bestFit="1" customWidth="1"/>
    <col min="4367" max="4367" width="12.85546875" style="246" bestFit="1" customWidth="1"/>
    <col min="4368" max="4368" width="9.5703125" style="246" bestFit="1" customWidth="1"/>
    <col min="4369" max="4371" width="8.85546875" style="246"/>
    <col min="4372" max="4372" width="12.85546875" style="246" bestFit="1" customWidth="1"/>
    <col min="4373" max="4608" width="8.85546875" style="246"/>
    <col min="4609" max="4609" width="13.140625" style="246" customWidth="1"/>
    <col min="4610" max="4610" width="13.7109375" style="246" customWidth="1"/>
    <col min="4611" max="4612" width="8.85546875" style="246"/>
    <col min="4613" max="4613" width="16.28515625" style="246" customWidth="1"/>
    <col min="4614" max="4614" width="6.85546875" style="246" customWidth="1"/>
    <col min="4615" max="4615" width="18.42578125" style="246" customWidth="1"/>
    <col min="4616" max="4616" width="14" style="246" customWidth="1"/>
    <col min="4617" max="4617" width="8.85546875" style="246"/>
    <col min="4618" max="4618" width="5.42578125" style="246" customWidth="1"/>
    <col min="4619" max="4619" width="9.28515625" style="246" bestFit="1" customWidth="1"/>
    <col min="4620" max="4620" width="10.5703125" style="246" bestFit="1" customWidth="1"/>
    <col min="4621" max="4621" width="20.7109375" style="246" bestFit="1" customWidth="1"/>
    <col min="4622" max="4622" width="11.5703125" style="246" bestFit="1" customWidth="1"/>
    <col min="4623" max="4623" width="12.85546875" style="246" bestFit="1" customWidth="1"/>
    <col min="4624" max="4624" width="9.5703125" style="246" bestFit="1" customWidth="1"/>
    <col min="4625" max="4627" width="8.85546875" style="246"/>
    <col min="4628" max="4628" width="12.85546875" style="246" bestFit="1" customWidth="1"/>
    <col min="4629" max="4864" width="8.85546875" style="246"/>
    <col min="4865" max="4865" width="13.140625" style="246" customWidth="1"/>
    <col min="4866" max="4866" width="13.7109375" style="246" customWidth="1"/>
    <col min="4867" max="4868" width="8.85546875" style="246"/>
    <col min="4869" max="4869" width="16.28515625" style="246" customWidth="1"/>
    <col min="4870" max="4870" width="6.85546875" style="246" customWidth="1"/>
    <col min="4871" max="4871" width="18.42578125" style="246" customWidth="1"/>
    <col min="4872" max="4872" width="14" style="246" customWidth="1"/>
    <col min="4873" max="4873" width="8.85546875" style="246"/>
    <col min="4874" max="4874" width="5.42578125" style="246" customWidth="1"/>
    <col min="4875" max="4875" width="9.28515625" style="246" bestFit="1" customWidth="1"/>
    <col min="4876" max="4876" width="10.5703125" style="246" bestFit="1" customWidth="1"/>
    <col min="4877" max="4877" width="20.7109375" style="246" bestFit="1" customWidth="1"/>
    <col min="4878" max="4878" width="11.5703125" style="246" bestFit="1" customWidth="1"/>
    <col min="4879" max="4879" width="12.85546875" style="246" bestFit="1" customWidth="1"/>
    <col min="4880" max="4880" width="9.5703125" style="246" bestFit="1" customWidth="1"/>
    <col min="4881" max="4883" width="8.85546875" style="246"/>
    <col min="4884" max="4884" width="12.85546875" style="246" bestFit="1" customWidth="1"/>
    <col min="4885" max="5120" width="8.85546875" style="246"/>
    <col min="5121" max="5121" width="13.140625" style="246" customWidth="1"/>
    <col min="5122" max="5122" width="13.7109375" style="246" customWidth="1"/>
    <col min="5123" max="5124" width="8.85546875" style="246"/>
    <col min="5125" max="5125" width="16.28515625" style="246" customWidth="1"/>
    <col min="5126" max="5126" width="6.85546875" style="246" customWidth="1"/>
    <col min="5127" max="5127" width="18.42578125" style="246" customWidth="1"/>
    <col min="5128" max="5128" width="14" style="246" customWidth="1"/>
    <col min="5129" max="5129" width="8.85546875" style="246"/>
    <col min="5130" max="5130" width="5.42578125" style="246" customWidth="1"/>
    <col min="5131" max="5131" width="9.28515625" style="246" bestFit="1" customWidth="1"/>
    <col min="5132" max="5132" width="10.5703125" style="246" bestFit="1" customWidth="1"/>
    <col min="5133" max="5133" width="20.7109375" style="246" bestFit="1" customWidth="1"/>
    <col min="5134" max="5134" width="11.5703125" style="246" bestFit="1" customWidth="1"/>
    <col min="5135" max="5135" width="12.85546875" style="246" bestFit="1" customWidth="1"/>
    <col min="5136" max="5136" width="9.5703125" style="246" bestFit="1" customWidth="1"/>
    <col min="5137" max="5139" width="8.85546875" style="246"/>
    <col min="5140" max="5140" width="12.85546875" style="246" bestFit="1" customWidth="1"/>
    <col min="5141" max="5376" width="8.85546875" style="246"/>
    <col min="5377" max="5377" width="13.140625" style="246" customWidth="1"/>
    <col min="5378" max="5378" width="13.7109375" style="246" customWidth="1"/>
    <col min="5379" max="5380" width="8.85546875" style="246"/>
    <col min="5381" max="5381" width="16.28515625" style="246" customWidth="1"/>
    <col min="5382" max="5382" width="6.85546875" style="246" customWidth="1"/>
    <col min="5383" max="5383" width="18.42578125" style="246" customWidth="1"/>
    <col min="5384" max="5384" width="14" style="246" customWidth="1"/>
    <col min="5385" max="5385" width="8.85546875" style="246"/>
    <col min="5386" max="5386" width="5.42578125" style="246" customWidth="1"/>
    <col min="5387" max="5387" width="9.28515625" style="246" bestFit="1" customWidth="1"/>
    <col min="5388" max="5388" width="10.5703125" style="246" bestFit="1" customWidth="1"/>
    <col min="5389" max="5389" width="20.7109375" style="246" bestFit="1" customWidth="1"/>
    <col min="5390" max="5390" width="11.5703125" style="246" bestFit="1" customWidth="1"/>
    <col min="5391" max="5391" width="12.85546875" style="246" bestFit="1" customWidth="1"/>
    <col min="5392" max="5392" width="9.5703125" style="246" bestFit="1" customWidth="1"/>
    <col min="5393" max="5395" width="8.85546875" style="246"/>
    <col min="5396" max="5396" width="12.85546875" style="246" bestFit="1" customWidth="1"/>
    <col min="5397" max="5632" width="8.85546875" style="246"/>
    <col min="5633" max="5633" width="13.140625" style="246" customWidth="1"/>
    <col min="5634" max="5634" width="13.7109375" style="246" customWidth="1"/>
    <col min="5635" max="5636" width="8.85546875" style="246"/>
    <col min="5637" max="5637" width="16.28515625" style="246" customWidth="1"/>
    <col min="5638" max="5638" width="6.85546875" style="246" customWidth="1"/>
    <col min="5639" max="5639" width="18.42578125" style="246" customWidth="1"/>
    <col min="5640" max="5640" width="14" style="246" customWidth="1"/>
    <col min="5641" max="5641" width="8.85546875" style="246"/>
    <col min="5642" max="5642" width="5.42578125" style="246" customWidth="1"/>
    <col min="5643" max="5643" width="9.28515625" style="246" bestFit="1" customWidth="1"/>
    <col min="5644" max="5644" width="10.5703125" style="246" bestFit="1" customWidth="1"/>
    <col min="5645" max="5645" width="20.7109375" style="246" bestFit="1" customWidth="1"/>
    <col min="5646" max="5646" width="11.5703125" style="246" bestFit="1" customWidth="1"/>
    <col min="5647" max="5647" width="12.85546875" style="246" bestFit="1" customWidth="1"/>
    <col min="5648" max="5648" width="9.5703125" style="246" bestFit="1" customWidth="1"/>
    <col min="5649" max="5651" width="8.85546875" style="246"/>
    <col min="5652" max="5652" width="12.85546875" style="246" bestFit="1" customWidth="1"/>
    <col min="5653" max="5888" width="8.85546875" style="246"/>
    <col min="5889" max="5889" width="13.140625" style="246" customWidth="1"/>
    <col min="5890" max="5890" width="13.7109375" style="246" customWidth="1"/>
    <col min="5891" max="5892" width="8.85546875" style="246"/>
    <col min="5893" max="5893" width="16.28515625" style="246" customWidth="1"/>
    <col min="5894" max="5894" width="6.85546875" style="246" customWidth="1"/>
    <col min="5895" max="5895" width="18.42578125" style="246" customWidth="1"/>
    <col min="5896" max="5896" width="14" style="246" customWidth="1"/>
    <col min="5897" max="5897" width="8.85546875" style="246"/>
    <col min="5898" max="5898" width="5.42578125" style="246" customWidth="1"/>
    <col min="5899" max="5899" width="9.28515625" style="246" bestFit="1" customWidth="1"/>
    <col min="5900" max="5900" width="10.5703125" style="246" bestFit="1" customWidth="1"/>
    <col min="5901" max="5901" width="20.7109375" style="246" bestFit="1" customWidth="1"/>
    <col min="5902" max="5902" width="11.5703125" style="246" bestFit="1" customWidth="1"/>
    <col min="5903" max="5903" width="12.85546875" style="246" bestFit="1" customWidth="1"/>
    <col min="5904" max="5904" width="9.5703125" style="246" bestFit="1" customWidth="1"/>
    <col min="5905" max="5907" width="8.85546875" style="246"/>
    <col min="5908" max="5908" width="12.85546875" style="246" bestFit="1" customWidth="1"/>
    <col min="5909" max="6144" width="8.85546875" style="246"/>
    <col min="6145" max="6145" width="13.140625" style="246" customWidth="1"/>
    <col min="6146" max="6146" width="13.7109375" style="246" customWidth="1"/>
    <col min="6147" max="6148" width="8.85546875" style="246"/>
    <col min="6149" max="6149" width="16.28515625" style="246" customWidth="1"/>
    <col min="6150" max="6150" width="6.85546875" style="246" customWidth="1"/>
    <col min="6151" max="6151" width="18.42578125" style="246" customWidth="1"/>
    <col min="6152" max="6152" width="14" style="246" customWidth="1"/>
    <col min="6153" max="6153" width="8.85546875" style="246"/>
    <col min="6154" max="6154" width="5.42578125" style="246" customWidth="1"/>
    <col min="6155" max="6155" width="9.28515625" style="246" bestFit="1" customWidth="1"/>
    <col min="6156" max="6156" width="10.5703125" style="246" bestFit="1" customWidth="1"/>
    <col min="6157" max="6157" width="20.7109375" style="246" bestFit="1" customWidth="1"/>
    <col min="6158" max="6158" width="11.5703125" style="246" bestFit="1" customWidth="1"/>
    <col min="6159" max="6159" width="12.85546875" style="246" bestFit="1" customWidth="1"/>
    <col min="6160" max="6160" width="9.5703125" style="246" bestFit="1" customWidth="1"/>
    <col min="6161" max="6163" width="8.85546875" style="246"/>
    <col min="6164" max="6164" width="12.85546875" style="246" bestFit="1" customWidth="1"/>
    <col min="6165" max="6400" width="8.85546875" style="246"/>
    <col min="6401" max="6401" width="13.140625" style="246" customWidth="1"/>
    <col min="6402" max="6402" width="13.7109375" style="246" customWidth="1"/>
    <col min="6403" max="6404" width="8.85546875" style="246"/>
    <col min="6405" max="6405" width="16.28515625" style="246" customWidth="1"/>
    <col min="6406" max="6406" width="6.85546875" style="246" customWidth="1"/>
    <col min="6407" max="6407" width="18.42578125" style="246" customWidth="1"/>
    <col min="6408" max="6408" width="14" style="246" customWidth="1"/>
    <col min="6409" max="6409" width="8.85546875" style="246"/>
    <col min="6410" max="6410" width="5.42578125" style="246" customWidth="1"/>
    <col min="6411" max="6411" width="9.28515625" style="246" bestFit="1" customWidth="1"/>
    <col min="6412" max="6412" width="10.5703125" style="246" bestFit="1" customWidth="1"/>
    <col min="6413" max="6413" width="20.7109375" style="246" bestFit="1" customWidth="1"/>
    <col min="6414" max="6414" width="11.5703125" style="246" bestFit="1" customWidth="1"/>
    <col min="6415" max="6415" width="12.85546875" style="246" bestFit="1" customWidth="1"/>
    <col min="6416" max="6416" width="9.5703125" style="246" bestFit="1" customWidth="1"/>
    <col min="6417" max="6419" width="8.85546875" style="246"/>
    <col min="6420" max="6420" width="12.85546875" style="246" bestFit="1" customWidth="1"/>
    <col min="6421" max="6656" width="8.85546875" style="246"/>
    <col min="6657" max="6657" width="13.140625" style="246" customWidth="1"/>
    <col min="6658" max="6658" width="13.7109375" style="246" customWidth="1"/>
    <col min="6659" max="6660" width="8.85546875" style="246"/>
    <col min="6661" max="6661" width="16.28515625" style="246" customWidth="1"/>
    <col min="6662" max="6662" width="6.85546875" style="246" customWidth="1"/>
    <col min="6663" max="6663" width="18.42578125" style="246" customWidth="1"/>
    <col min="6664" max="6664" width="14" style="246" customWidth="1"/>
    <col min="6665" max="6665" width="8.85546875" style="246"/>
    <col min="6666" max="6666" width="5.42578125" style="246" customWidth="1"/>
    <col min="6667" max="6667" width="9.28515625" style="246" bestFit="1" customWidth="1"/>
    <col min="6668" max="6668" width="10.5703125" style="246" bestFit="1" customWidth="1"/>
    <col min="6669" max="6669" width="20.7109375" style="246" bestFit="1" customWidth="1"/>
    <col min="6670" max="6670" width="11.5703125" style="246" bestFit="1" customWidth="1"/>
    <col min="6671" max="6671" width="12.85546875" style="246" bestFit="1" customWidth="1"/>
    <col min="6672" max="6672" width="9.5703125" style="246" bestFit="1" customWidth="1"/>
    <col min="6673" max="6675" width="8.85546875" style="246"/>
    <col min="6676" max="6676" width="12.85546875" style="246" bestFit="1" customWidth="1"/>
    <col min="6677" max="6912" width="8.85546875" style="246"/>
    <col min="6913" max="6913" width="13.140625" style="246" customWidth="1"/>
    <col min="6914" max="6914" width="13.7109375" style="246" customWidth="1"/>
    <col min="6915" max="6916" width="8.85546875" style="246"/>
    <col min="6917" max="6917" width="16.28515625" style="246" customWidth="1"/>
    <col min="6918" max="6918" width="6.85546875" style="246" customWidth="1"/>
    <col min="6919" max="6919" width="18.42578125" style="246" customWidth="1"/>
    <col min="6920" max="6920" width="14" style="246" customWidth="1"/>
    <col min="6921" max="6921" width="8.85546875" style="246"/>
    <col min="6922" max="6922" width="5.42578125" style="246" customWidth="1"/>
    <col min="6923" max="6923" width="9.28515625" style="246" bestFit="1" customWidth="1"/>
    <col min="6924" max="6924" width="10.5703125" style="246" bestFit="1" customWidth="1"/>
    <col min="6925" max="6925" width="20.7109375" style="246" bestFit="1" customWidth="1"/>
    <col min="6926" max="6926" width="11.5703125" style="246" bestFit="1" customWidth="1"/>
    <col min="6927" max="6927" width="12.85546875" style="246" bestFit="1" customWidth="1"/>
    <col min="6928" max="6928" width="9.5703125" style="246" bestFit="1" customWidth="1"/>
    <col min="6929" max="6931" width="8.85546875" style="246"/>
    <col min="6932" max="6932" width="12.85546875" style="246" bestFit="1" customWidth="1"/>
    <col min="6933" max="7168" width="8.85546875" style="246"/>
    <col min="7169" max="7169" width="13.140625" style="246" customWidth="1"/>
    <col min="7170" max="7170" width="13.7109375" style="246" customWidth="1"/>
    <col min="7171" max="7172" width="8.85546875" style="246"/>
    <col min="7173" max="7173" width="16.28515625" style="246" customWidth="1"/>
    <col min="7174" max="7174" width="6.85546875" style="246" customWidth="1"/>
    <col min="7175" max="7175" width="18.42578125" style="246" customWidth="1"/>
    <col min="7176" max="7176" width="14" style="246" customWidth="1"/>
    <col min="7177" max="7177" width="8.85546875" style="246"/>
    <col min="7178" max="7178" width="5.42578125" style="246" customWidth="1"/>
    <col min="7179" max="7179" width="9.28515625" style="246" bestFit="1" customWidth="1"/>
    <col min="7180" max="7180" width="10.5703125" style="246" bestFit="1" customWidth="1"/>
    <col min="7181" max="7181" width="20.7109375" style="246" bestFit="1" customWidth="1"/>
    <col min="7182" max="7182" width="11.5703125" style="246" bestFit="1" customWidth="1"/>
    <col min="7183" max="7183" width="12.85546875" style="246" bestFit="1" customWidth="1"/>
    <col min="7184" max="7184" width="9.5703125" style="246" bestFit="1" customWidth="1"/>
    <col min="7185" max="7187" width="8.85546875" style="246"/>
    <col min="7188" max="7188" width="12.85546875" style="246" bestFit="1" customWidth="1"/>
    <col min="7189" max="7424" width="8.85546875" style="246"/>
    <col min="7425" max="7425" width="13.140625" style="246" customWidth="1"/>
    <col min="7426" max="7426" width="13.7109375" style="246" customWidth="1"/>
    <col min="7427" max="7428" width="8.85546875" style="246"/>
    <col min="7429" max="7429" width="16.28515625" style="246" customWidth="1"/>
    <col min="7430" max="7430" width="6.85546875" style="246" customWidth="1"/>
    <col min="7431" max="7431" width="18.42578125" style="246" customWidth="1"/>
    <col min="7432" max="7432" width="14" style="246" customWidth="1"/>
    <col min="7433" max="7433" width="8.85546875" style="246"/>
    <col min="7434" max="7434" width="5.42578125" style="246" customWidth="1"/>
    <col min="7435" max="7435" width="9.28515625" style="246" bestFit="1" customWidth="1"/>
    <col min="7436" max="7436" width="10.5703125" style="246" bestFit="1" customWidth="1"/>
    <col min="7437" max="7437" width="20.7109375" style="246" bestFit="1" customWidth="1"/>
    <col min="7438" max="7438" width="11.5703125" style="246" bestFit="1" customWidth="1"/>
    <col min="7439" max="7439" width="12.85546875" style="246" bestFit="1" customWidth="1"/>
    <col min="7440" max="7440" width="9.5703125" style="246" bestFit="1" customWidth="1"/>
    <col min="7441" max="7443" width="8.85546875" style="246"/>
    <col min="7444" max="7444" width="12.85546875" style="246" bestFit="1" customWidth="1"/>
    <col min="7445" max="7680" width="8.85546875" style="246"/>
    <col min="7681" max="7681" width="13.140625" style="246" customWidth="1"/>
    <col min="7682" max="7682" width="13.7109375" style="246" customWidth="1"/>
    <col min="7683" max="7684" width="8.85546875" style="246"/>
    <col min="7685" max="7685" width="16.28515625" style="246" customWidth="1"/>
    <col min="7686" max="7686" width="6.85546875" style="246" customWidth="1"/>
    <col min="7687" max="7687" width="18.42578125" style="246" customWidth="1"/>
    <col min="7688" max="7688" width="14" style="246" customWidth="1"/>
    <col min="7689" max="7689" width="8.85546875" style="246"/>
    <col min="7690" max="7690" width="5.42578125" style="246" customWidth="1"/>
    <col min="7691" max="7691" width="9.28515625" style="246" bestFit="1" customWidth="1"/>
    <col min="7692" max="7692" width="10.5703125" style="246" bestFit="1" customWidth="1"/>
    <col min="7693" max="7693" width="20.7109375" style="246" bestFit="1" customWidth="1"/>
    <col min="7694" max="7694" width="11.5703125" style="246" bestFit="1" customWidth="1"/>
    <col min="7695" max="7695" width="12.85546875" style="246" bestFit="1" customWidth="1"/>
    <col min="7696" max="7696" width="9.5703125" style="246" bestFit="1" customWidth="1"/>
    <col min="7697" max="7699" width="8.85546875" style="246"/>
    <col min="7700" max="7700" width="12.85546875" style="246" bestFit="1" customWidth="1"/>
    <col min="7701" max="7936" width="8.85546875" style="246"/>
    <col min="7937" max="7937" width="13.140625" style="246" customWidth="1"/>
    <col min="7938" max="7938" width="13.7109375" style="246" customWidth="1"/>
    <col min="7939" max="7940" width="8.85546875" style="246"/>
    <col min="7941" max="7941" width="16.28515625" style="246" customWidth="1"/>
    <col min="7942" max="7942" width="6.85546875" style="246" customWidth="1"/>
    <col min="7943" max="7943" width="18.42578125" style="246" customWidth="1"/>
    <col min="7944" max="7944" width="14" style="246" customWidth="1"/>
    <col min="7945" max="7945" width="8.85546875" style="246"/>
    <col min="7946" max="7946" width="5.42578125" style="246" customWidth="1"/>
    <col min="7947" max="7947" width="9.28515625" style="246" bestFit="1" customWidth="1"/>
    <col min="7948" max="7948" width="10.5703125" style="246" bestFit="1" customWidth="1"/>
    <col min="7949" max="7949" width="20.7109375" style="246" bestFit="1" customWidth="1"/>
    <col min="7950" max="7950" width="11.5703125" style="246" bestFit="1" customWidth="1"/>
    <col min="7951" max="7951" width="12.85546875" style="246" bestFit="1" customWidth="1"/>
    <col min="7952" max="7952" width="9.5703125" style="246" bestFit="1" customWidth="1"/>
    <col min="7953" max="7955" width="8.85546875" style="246"/>
    <col min="7956" max="7956" width="12.85546875" style="246" bestFit="1" customWidth="1"/>
    <col min="7957" max="8192" width="8.85546875" style="246"/>
    <col min="8193" max="8193" width="13.140625" style="246" customWidth="1"/>
    <col min="8194" max="8194" width="13.7109375" style="246" customWidth="1"/>
    <col min="8195" max="8196" width="8.85546875" style="246"/>
    <col min="8197" max="8197" width="16.28515625" style="246" customWidth="1"/>
    <col min="8198" max="8198" width="6.85546875" style="246" customWidth="1"/>
    <col min="8199" max="8199" width="18.42578125" style="246" customWidth="1"/>
    <col min="8200" max="8200" width="14" style="246" customWidth="1"/>
    <col min="8201" max="8201" width="8.85546875" style="246"/>
    <col min="8202" max="8202" width="5.42578125" style="246" customWidth="1"/>
    <col min="8203" max="8203" width="9.28515625" style="246" bestFit="1" customWidth="1"/>
    <col min="8204" max="8204" width="10.5703125" style="246" bestFit="1" customWidth="1"/>
    <col min="8205" max="8205" width="20.7109375" style="246" bestFit="1" customWidth="1"/>
    <col min="8206" max="8206" width="11.5703125" style="246" bestFit="1" customWidth="1"/>
    <col min="8207" max="8207" width="12.85546875" style="246" bestFit="1" customWidth="1"/>
    <col min="8208" max="8208" width="9.5703125" style="246" bestFit="1" customWidth="1"/>
    <col min="8209" max="8211" width="8.85546875" style="246"/>
    <col min="8212" max="8212" width="12.85546875" style="246" bestFit="1" customWidth="1"/>
    <col min="8213" max="8448" width="8.85546875" style="246"/>
    <col min="8449" max="8449" width="13.140625" style="246" customWidth="1"/>
    <col min="8450" max="8450" width="13.7109375" style="246" customWidth="1"/>
    <col min="8451" max="8452" width="8.85546875" style="246"/>
    <col min="8453" max="8453" width="16.28515625" style="246" customWidth="1"/>
    <col min="8454" max="8454" width="6.85546875" style="246" customWidth="1"/>
    <col min="8455" max="8455" width="18.42578125" style="246" customWidth="1"/>
    <col min="8456" max="8456" width="14" style="246" customWidth="1"/>
    <col min="8457" max="8457" width="8.85546875" style="246"/>
    <col min="8458" max="8458" width="5.42578125" style="246" customWidth="1"/>
    <col min="8459" max="8459" width="9.28515625" style="246" bestFit="1" customWidth="1"/>
    <col min="8460" max="8460" width="10.5703125" style="246" bestFit="1" customWidth="1"/>
    <col min="8461" max="8461" width="20.7109375" style="246" bestFit="1" customWidth="1"/>
    <col min="8462" max="8462" width="11.5703125" style="246" bestFit="1" customWidth="1"/>
    <col min="8463" max="8463" width="12.85546875" style="246" bestFit="1" customWidth="1"/>
    <col min="8464" max="8464" width="9.5703125" style="246" bestFit="1" customWidth="1"/>
    <col min="8465" max="8467" width="8.85546875" style="246"/>
    <col min="8468" max="8468" width="12.85546875" style="246" bestFit="1" customWidth="1"/>
    <col min="8469" max="8704" width="8.85546875" style="246"/>
    <col min="8705" max="8705" width="13.140625" style="246" customWidth="1"/>
    <col min="8706" max="8706" width="13.7109375" style="246" customWidth="1"/>
    <col min="8707" max="8708" width="8.85546875" style="246"/>
    <col min="8709" max="8709" width="16.28515625" style="246" customWidth="1"/>
    <col min="8710" max="8710" width="6.85546875" style="246" customWidth="1"/>
    <col min="8711" max="8711" width="18.42578125" style="246" customWidth="1"/>
    <col min="8712" max="8712" width="14" style="246" customWidth="1"/>
    <col min="8713" max="8713" width="8.85546875" style="246"/>
    <col min="8714" max="8714" width="5.42578125" style="246" customWidth="1"/>
    <col min="8715" max="8715" width="9.28515625" style="246" bestFit="1" customWidth="1"/>
    <col min="8716" max="8716" width="10.5703125" style="246" bestFit="1" customWidth="1"/>
    <col min="8717" max="8717" width="20.7109375" style="246" bestFit="1" customWidth="1"/>
    <col min="8718" max="8718" width="11.5703125" style="246" bestFit="1" customWidth="1"/>
    <col min="8719" max="8719" width="12.85546875" style="246" bestFit="1" customWidth="1"/>
    <col min="8720" max="8720" width="9.5703125" style="246" bestFit="1" customWidth="1"/>
    <col min="8721" max="8723" width="8.85546875" style="246"/>
    <col min="8724" max="8724" width="12.85546875" style="246" bestFit="1" customWidth="1"/>
    <col min="8725" max="8960" width="8.85546875" style="246"/>
    <col min="8961" max="8961" width="13.140625" style="246" customWidth="1"/>
    <col min="8962" max="8962" width="13.7109375" style="246" customWidth="1"/>
    <col min="8963" max="8964" width="8.85546875" style="246"/>
    <col min="8965" max="8965" width="16.28515625" style="246" customWidth="1"/>
    <col min="8966" max="8966" width="6.85546875" style="246" customWidth="1"/>
    <col min="8967" max="8967" width="18.42578125" style="246" customWidth="1"/>
    <col min="8968" max="8968" width="14" style="246" customWidth="1"/>
    <col min="8969" max="8969" width="8.85546875" style="246"/>
    <col min="8970" max="8970" width="5.42578125" style="246" customWidth="1"/>
    <col min="8971" max="8971" width="9.28515625" style="246" bestFit="1" customWidth="1"/>
    <col min="8972" max="8972" width="10.5703125" style="246" bestFit="1" customWidth="1"/>
    <col min="8973" max="8973" width="20.7109375" style="246" bestFit="1" customWidth="1"/>
    <col min="8974" max="8974" width="11.5703125" style="246" bestFit="1" customWidth="1"/>
    <col min="8975" max="8975" width="12.85546875" style="246" bestFit="1" customWidth="1"/>
    <col min="8976" max="8976" width="9.5703125" style="246" bestFit="1" customWidth="1"/>
    <col min="8977" max="8979" width="8.85546875" style="246"/>
    <col min="8980" max="8980" width="12.85546875" style="246" bestFit="1" customWidth="1"/>
    <col min="8981" max="9216" width="8.85546875" style="246"/>
    <col min="9217" max="9217" width="13.140625" style="246" customWidth="1"/>
    <col min="9218" max="9218" width="13.7109375" style="246" customWidth="1"/>
    <col min="9219" max="9220" width="8.85546875" style="246"/>
    <col min="9221" max="9221" width="16.28515625" style="246" customWidth="1"/>
    <col min="9222" max="9222" width="6.85546875" style="246" customWidth="1"/>
    <col min="9223" max="9223" width="18.42578125" style="246" customWidth="1"/>
    <col min="9224" max="9224" width="14" style="246" customWidth="1"/>
    <col min="9225" max="9225" width="8.85546875" style="246"/>
    <col min="9226" max="9226" width="5.42578125" style="246" customWidth="1"/>
    <col min="9227" max="9227" width="9.28515625" style="246" bestFit="1" customWidth="1"/>
    <col min="9228" max="9228" width="10.5703125" style="246" bestFit="1" customWidth="1"/>
    <col min="9229" max="9229" width="20.7109375" style="246" bestFit="1" customWidth="1"/>
    <col min="9230" max="9230" width="11.5703125" style="246" bestFit="1" customWidth="1"/>
    <col min="9231" max="9231" width="12.85546875" style="246" bestFit="1" customWidth="1"/>
    <col min="9232" max="9232" width="9.5703125" style="246" bestFit="1" customWidth="1"/>
    <col min="9233" max="9235" width="8.85546875" style="246"/>
    <col min="9236" max="9236" width="12.85546875" style="246" bestFit="1" customWidth="1"/>
    <col min="9237" max="9472" width="8.85546875" style="246"/>
    <col min="9473" max="9473" width="13.140625" style="246" customWidth="1"/>
    <col min="9474" max="9474" width="13.7109375" style="246" customWidth="1"/>
    <col min="9475" max="9476" width="8.85546875" style="246"/>
    <col min="9477" max="9477" width="16.28515625" style="246" customWidth="1"/>
    <col min="9478" max="9478" width="6.85546875" style="246" customWidth="1"/>
    <col min="9479" max="9479" width="18.42578125" style="246" customWidth="1"/>
    <col min="9480" max="9480" width="14" style="246" customWidth="1"/>
    <col min="9481" max="9481" width="8.85546875" style="246"/>
    <col min="9482" max="9482" width="5.42578125" style="246" customWidth="1"/>
    <col min="9483" max="9483" width="9.28515625" style="246" bestFit="1" customWidth="1"/>
    <col min="9484" max="9484" width="10.5703125" style="246" bestFit="1" customWidth="1"/>
    <col min="9485" max="9485" width="20.7109375" style="246" bestFit="1" customWidth="1"/>
    <col min="9486" max="9486" width="11.5703125" style="246" bestFit="1" customWidth="1"/>
    <col min="9487" max="9487" width="12.85546875" style="246" bestFit="1" customWidth="1"/>
    <col min="9488" max="9488" width="9.5703125" style="246" bestFit="1" customWidth="1"/>
    <col min="9489" max="9491" width="8.85546875" style="246"/>
    <col min="9492" max="9492" width="12.85546875" style="246" bestFit="1" customWidth="1"/>
    <col min="9493" max="9728" width="8.85546875" style="246"/>
    <col min="9729" max="9729" width="13.140625" style="246" customWidth="1"/>
    <col min="9730" max="9730" width="13.7109375" style="246" customWidth="1"/>
    <col min="9731" max="9732" width="8.85546875" style="246"/>
    <col min="9733" max="9733" width="16.28515625" style="246" customWidth="1"/>
    <col min="9734" max="9734" width="6.85546875" style="246" customWidth="1"/>
    <col min="9735" max="9735" width="18.42578125" style="246" customWidth="1"/>
    <col min="9736" max="9736" width="14" style="246" customWidth="1"/>
    <col min="9737" max="9737" width="8.85546875" style="246"/>
    <col min="9738" max="9738" width="5.42578125" style="246" customWidth="1"/>
    <col min="9739" max="9739" width="9.28515625" style="246" bestFit="1" customWidth="1"/>
    <col min="9740" max="9740" width="10.5703125" style="246" bestFit="1" customWidth="1"/>
    <col min="9741" max="9741" width="20.7109375" style="246" bestFit="1" customWidth="1"/>
    <col min="9742" max="9742" width="11.5703125" style="246" bestFit="1" customWidth="1"/>
    <col min="9743" max="9743" width="12.85546875" style="246" bestFit="1" customWidth="1"/>
    <col min="9744" max="9744" width="9.5703125" style="246" bestFit="1" customWidth="1"/>
    <col min="9745" max="9747" width="8.85546875" style="246"/>
    <col min="9748" max="9748" width="12.85546875" style="246" bestFit="1" customWidth="1"/>
    <col min="9749" max="9984" width="8.85546875" style="246"/>
    <col min="9985" max="9985" width="13.140625" style="246" customWidth="1"/>
    <col min="9986" max="9986" width="13.7109375" style="246" customWidth="1"/>
    <col min="9987" max="9988" width="8.85546875" style="246"/>
    <col min="9989" max="9989" width="16.28515625" style="246" customWidth="1"/>
    <col min="9990" max="9990" width="6.85546875" style="246" customWidth="1"/>
    <col min="9991" max="9991" width="18.42578125" style="246" customWidth="1"/>
    <col min="9992" max="9992" width="14" style="246" customWidth="1"/>
    <col min="9993" max="9993" width="8.85546875" style="246"/>
    <col min="9994" max="9994" width="5.42578125" style="246" customWidth="1"/>
    <col min="9995" max="9995" width="9.28515625" style="246" bestFit="1" customWidth="1"/>
    <col min="9996" max="9996" width="10.5703125" style="246" bestFit="1" customWidth="1"/>
    <col min="9997" max="9997" width="20.7109375" style="246" bestFit="1" customWidth="1"/>
    <col min="9998" max="9998" width="11.5703125" style="246" bestFit="1" customWidth="1"/>
    <col min="9999" max="9999" width="12.85546875" style="246" bestFit="1" customWidth="1"/>
    <col min="10000" max="10000" width="9.5703125" style="246" bestFit="1" customWidth="1"/>
    <col min="10001" max="10003" width="8.85546875" style="246"/>
    <col min="10004" max="10004" width="12.85546875" style="246" bestFit="1" customWidth="1"/>
    <col min="10005" max="10240" width="8.85546875" style="246"/>
    <col min="10241" max="10241" width="13.140625" style="246" customWidth="1"/>
    <col min="10242" max="10242" width="13.7109375" style="246" customWidth="1"/>
    <col min="10243" max="10244" width="8.85546875" style="246"/>
    <col min="10245" max="10245" width="16.28515625" style="246" customWidth="1"/>
    <col min="10246" max="10246" width="6.85546875" style="246" customWidth="1"/>
    <col min="10247" max="10247" width="18.42578125" style="246" customWidth="1"/>
    <col min="10248" max="10248" width="14" style="246" customWidth="1"/>
    <col min="10249" max="10249" width="8.85546875" style="246"/>
    <col min="10250" max="10250" width="5.42578125" style="246" customWidth="1"/>
    <col min="10251" max="10251" width="9.28515625" style="246" bestFit="1" customWidth="1"/>
    <col min="10252" max="10252" width="10.5703125" style="246" bestFit="1" customWidth="1"/>
    <col min="10253" max="10253" width="20.7109375" style="246" bestFit="1" customWidth="1"/>
    <col min="10254" max="10254" width="11.5703125" style="246" bestFit="1" customWidth="1"/>
    <col min="10255" max="10255" width="12.85546875" style="246" bestFit="1" customWidth="1"/>
    <col min="10256" max="10256" width="9.5703125" style="246" bestFit="1" customWidth="1"/>
    <col min="10257" max="10259" width="8.85546875" style="246"/>
    <col min="10260" max="10260" width="12.85546875" style="246" bestFit="1" customWidth="1"/>
    <col min="10261" max="10496" width="8.85546875" style="246"/>
    <col min="10497" max="10497" width="13.140625" style="246" customWidth="1"/>
    <col min="10498" max="10498" width="13.7109375" style="246" customWidth="1"/>
    <col min="10499" max="10500" width="8.85546875" style="246"/>
    <col min="10501" max="10501" width="16.28515625" style="246" customWidth="1"/>
    <col min="10502" max="10502" width="6.85546875" style="246" customWidth="1"/>
    <col min="10503" max="10503" width="18.42578125" style="246" customWidth="1"/>
    <col min="10504" max="10504" width="14" style="246" customWidth="1"/>
    <col min="10505" max="10505" width="8.85546875" style="246"/>
    <col min="10506" max="10506" width="5.42578125" style="246" customWidth="1"/>
    <col min="10507" max="10507" width="9.28515625" style="246" bestFit="1" customWidth="1"/>
    <col min="10508" max="10508" width="10.5703125" style="246" bestFit="1" customWidth="1"/>
    <col min="10509" max="10509" width="20.7109375" style="246" bestFit="1" customWidth="1"/>
    <col min="10510" max="10510" width="11.5703125" style="246" bestFit="1" customWidth="1"/>
    <col min="10511" max="10511" width="12.85546875" style="246" bestFit="1" customWidth="1"/>
    <col min="10512" max="10512" width="9.5703125" style="246" bestFit="1" customWidth="1"/>
    <col min="10513" max="10515" width="8.85546875" style="246"/>
    <col min="10516" max="10516" width="12.85546875" style="246" bestFit="1" customWidth="1"/>
    <col min="10517" max="10752" width="8.85546875" style="246"/>
    <col min="10753" max="10753" width="13.140625" style="246" customWidth="1"/>
    <col min="10754" max="10754" width="13.7109375" style="246" customWidth="1"/>
    <col min="10755" max="10756" width="8.85546875" style="246"/>
    <col min="10757" max="10757" width="16.28515625" style="246" customWidth="1"/>
    <col min="10758" max="10758" width="6.85546875" style="246" customWidth="1"/>
    <col min="10759" max="10759" width="18.42578125" style="246" customWidth="1"/>
    <col min="10760" max="10760" width="14" style="246" customWidth="1"/>
    <col min="10761" max="10761" width="8.85546875" style="246"/>
    <col min="10762" max="10762" width="5.42578125" style="246" customWidth="1"/>
    <col min="10763" max="10763" width="9.28515625" style="246" bestFit="1" customWidth="1"/>
    <col min="10764" max="10764" width="10.5703125" style="246" bestFit="1" customWidth="1"/>
    <col min="10765" max="10765" width="20.7109375" style="246" bestFit="1" customWidth="1"/>
    <col min="10766" max="10766" width="11.5703125" style="246" bestFit="1" customWidth="1"/>
    <col min="10767" max="10767" width="12.85546875" style="246" bestFit="1" customWidth="1"/>
    <col min="10768" max="10768" width="9.5703125" style="246" bestFit="1" customWidth="1"/>
    <col min="10769" max="10771" width="8.85546875" style="246"/>
    <col min="10772" max="10772" width="12.85546875" style="246" bestFit="1" customWidth="1"/>
    <col min="10773" max="11008" width="8.85546875" style="246"/>
    <col min="11009" max="11009" width="13.140625" style="246" customWidth="1"/>
    <col min="11010" max="11010" width="13.7109375" style="246" customWidth="1"/>
    <col min="11011" max="11012" width="8.85546875" style="246"/>
    <col min="11013" max="11013" width="16.28515625" style="246" customWidth="1"/>
    <col min="11014" max="11014" width="6.85546875" style="246" customWidth="1"/>
    <col min="11015" max="11015" width="18.42578125" style="246" customWidth="1"/>
    <col min="11016" max="11016" width="14" style="246" customWidth="1"/>
    <col min="11017" max="11017" width="8.85546875" style="246"/>
    <col min="11018" max="11018" width="5.42578125" style="246" customWidth="1"/>
    <col min="11019" max="11019" width="9.28515625" style="246" bestFit="1" customWidth="1"/>
    <col min="11020" max="11020" width="10.5703125" style="246" bestFit="1" customWidth="1"/>
    <col min="11021" max="11021" width="20.7109375" style="246" bestFit="1" customWidth="1"/>
    <col min="11022" max="11022" width="11.5703125" style="246" bestFit="1" customWidth="1"/>
    <col min="11023" max="11023" width="12.85546875" style="246" bestFit="1" customWidth="1"/>
    <col min="11024" max="11024" width="9.5703125" style="246" bestFit="1" customWidth="1"/>
    <col min="11025" max="11027" width="8.85546875" style="246"/>
    <col min="11028" max="11028" width="12.85546875" style="246" bestFit="1" customWidth="1"/>
    <col min="11029" max="11264" width="8.85546875" style="246"/>
    <col min="11265" max="11265" width="13.140625" style="246" customWidth="1"/>
    <col min="11266" max="11266" width="13.7109375" style="246" customWidth="1"/>
    <col min="11267" max="11268" width="8.85546875" style="246"/>
    <col min="11269" max="11269" width="16.28515625" style="246" customWidth="1"/>
    <col min="11270" max="11270" width="6.85546875" style="246" customWidth="1"/>
    <col min="11271" max="11271" width="18.42578125" style="246" customWidth="1"/>
    <col min="11272" max="11272" width="14" style="246" customWidth="1"/>
    <col min="11273" max="11273" width="8.85546875" style="246"/>
    <col min="11274" max="11274" width="5.42578125" style="246" customWidth="1"/>
    <col min="11275" max="11275" width="9.28515625" style="246" bestFit="1" customWidth="1"/>
    <col min="11276" max="11276" width="10.5703125" style="246" bestFit="1" customWidth="1"/>
    <col min="11277" max="11277" width="20.7109375" style="246" bestFit="1" customWidth="1"/>
    <col min="11278" max="11278" width="11.5703125" style="246" bestFit="1" customWidth="1"/>
    <col min="11279" max="11279" width="12.85546875" style="246" bestFit="1" customWidth="1"/>
    <col min="11280" max="11280" width="9.5703125" style="246" bestFit="1" customWidth="1"/>
    <col min="11281" max="11283" width="8.85546875" style="246"/>
    <col min="11284" max="11284" width="12.85546875" style="246" bestFit="1" customWidth="1"/>
    <col min="11285" max="11520" width="8.85546875" style="246"/>
    <col min="11521" max="11521" width="13.140625" style="246" customWidth="1"/>
    <col min="11522" max="11522" width="13.7109375" style="246" customWidth="1"/>
    <col min="11523" max="11524" width="8.85546875" style="246"/>
    <col min="11525" max="11525" width="16.28515625" style="246" customWidth="1"/>
    <col min="11526" max="11526" width="6.85546875" style="246" customWidth="1"/>
    <col min="11527" max="11527" width="18.42578125" style="246" customWidth="1"/>
    <col min="11528" max="11528" width="14" style="246" customWidth="1"/>
    <col min="11529" max="11529" width="8.85546875" style="246"/>
    <col min="11530" max="11530" width="5.42578125" style="246" customWidth="1"/>
    <col min="11531" max="11531" width="9.28515625" style="246" bestFit="1" customWidth="1"/>
    <col min="11532" max="11532" width="10.5703125" style="246" bestFit="1" customWidth="1"/>
    <col min="11533" max="11533" width="20.7109375" style="246" bestFit="1" customWidth="1"/>
    <col min="11534" max="11534" width="11.5703125" style="246" bestFit="1" customWidth="1"/>
    <col min="11535" max="11535" width="12.85546875" style="246" bestFit="1" customWidth="1"/>
    <col min="11536" max="11536" width="9.5703125" style="246" bestFit="1" customWidth="1"/>
    <col min="11537" max="11539" width="8.85546875" style="246"/>
    <col min="11540" max="11540" width="12.85546875" style="246" bestFit="1" customWidth="1"/>
    <col min="11541" max="11776" width="8.85546875" style="246"/>
    <col min="11777" max="11777" width="13.140625" style="246" customWidth="1"/>
    <col min="11778" max="11778" width="13.7109375" style="246" customWidth="1"/>
    <col min="11779" max="11780" width="8.85546875" style="246"/>
    <col min="11781" max="11781" width="16.28515625" style="246" customWidth="1"/>
    <col min="11782" max="11782" width="6.85546875" style="246" customWidth="1"/>
    <col min="11783" max="11783" width="18.42578125" style="246" customWidth="1"/>
    <col min="11784" max="11784" width="14" style="246" customWidth="1"/>
    <col min="11785" max="11785" width="8.85546875" style="246"/>
    <col min="11786" max="11786" width="5.42578125" style="246" customWidth="1"/>
    <col min="11787" max="11787" width="9.28515625" style="246" bestFit="1" customWidth="1"/>
    <col min="11788" max="11788" width="10.5703125" style="246" bestFit="1" customWidth="1"/>
    <col min="11789" max="11789" width="20.7109375" style="246" bestFit="1" customWidth="1"/>
    <col min="11790" max="11790" width="11.5703125" style="246" bestFit="1" customWidth="1"/>
    <col min="11791" max="11791" width="12.85546875" style="246" bestFit="1" customWidth="1"/>
    <col min="11792" max="11792" width="9.5703125" style="246" bestFit="1" customWidth="1"/>
    <col min="11793" max="11795" width="8.85546875" style="246"/>
    <col min="11796" max="11796" width="12.85546875" style="246" bestFit="1" customWidth="1"/>
    <col min="11797" max="12032" width="8.85546875" style="246"/>
    <col min="12033" max="12033" width="13.140625" style="246" customWidth="1"/>
    <col min="12034" max="12034" width="13.7109375" style="246" customWidth="1"/>
    <col min="12035" max="12036" width="8.85546875" style="246"/>
    <col min="12037" max="12037" width="16.28515625" style="246" customWidth="1"/>
    <col min="12038" max="12038" width="6.85546875" style="246" customWidth="1"/>
    <col min="12039" max="12039" width="18.42578125" style="246" customWidth="1"/>
    <col min="12040" max="12040" width="14" style="246" customWidth="1"/>
    <col min="12041" max="12041" width="8.85546875" style="246"/>
    <col min="12042" max="12042" width="5.42578125" style="246" customWidth="1"/>
    <col min="12043" max="12043" width="9.28515625" style="246" bestFit="1" customWidth="1"/>
    <col min="12044" max="12044" width="10.5703125" style="246" bestFit="1" customWidth="1"/>
    <col min="12045" max="12045" width="20.7109375" style="246" bestFit="1" customWidth="1"/>
    <col min="12046" max="12046" width="11.5703125" style="246" bestFit="1" customWidth="1"/>
    <col min="12047" max="12047" width="12.85546875" style="246" bestFit="1" customWidth="1"/>
    <col min="12048" max="12048" width="9.5703125" style="246" bestFit="1" customWidth="1"/>
    <col min="12049" max="12051" width="8.85546875" style="246"/>
    <col min="12052" max="12052" width="12.85546875" style="246" bestFit="1" customWidth="1"/>
    <col min="12053" max="12288" width="8.85546875" style="246"/>
    <col min="12289" max="12289" width="13.140625" style="246" customWidth="1"/>
    <col min="12290" max="12290" width="13.7109375" style="246" customWidth="1"/>
    <col min="12291" max="12292" width="8.85546875" style="246"/>
    <col min="12293" max="12293" width="16.28515625" style="246" customWidth="1"/>
    <col min="12294" max="12294" width="6.85546875" style="246" customWidth="1"/>
    <col min="12295" max="12295" width="18.42578125" style="246" customWidth="1"/>
    <col min="12296" max="12296" width="14" style="246" customWidth="1"/>
    <col min="12297" max="12297" width="8.85546875" style="246"/>
    <col min="12298" max="12298" width="5.42578125" style="246" customWidth="1"/>
    <col min="12299" max="12299" width="9.28515625" style="246" bestFit="1" customWidth="1"/>
    <col min="12300" max="12300" width="10.5703125" style="246" bestFit="1" customWidth="1"/>
    <col min="12301" max="12301" width="20.7109375" style="246" bestFit="1" customWidth="1"/>
    <col min="12302" max="12302" width="11.5703125" style="246" bestFit="1" customWidth="1"/>
    <col min="12303" max="12303" width="12.85546875" style="246" bestFit="1" customWidth="1"/>
    <col min="12304" max="12304" width="9.5703125" style="246" bestFit="1" customWidth="1"/>
    <col min="12305" max="12307" width="8.85546875" style="246"/>
    <col min="12308" max="12308" width="12.85546875" style="246" bestFit="1" customWidth="1"/>
    <col min="12309" max="12544" width="8.85546875" style="246"/>
    <col min="12545" max="12545" width="13.140625" style="246" customWidth="1"/>
    <col min="12546" max="12546" width="13.7109375" style="246" customWidth="1"/>
    <col min="12547" max="12548" width="8.85546875" style="246"/>
    <col min="12549" max="12549" width="16.28515625" style="246" customWidth="1"/>
    <col min="12550" max="12550" width="6.85546875" style="246" customWidth="1"/>
    <col min="12551" max="12551" width="18.42578125" style="246" customWidth="1"/>
    <col min="12552" max="12552" width="14" style="246" customWidth="1"/>
    <col min="12553" max="12553" width="8.85546875" style="246"/>
    <col min="12554" max="12554" width="5.42578125" style="246" customWidth="1"/>
    <col min="12555" max="12555" width="9.28515625" style="246" bestFit="1" customWidth="1"/>
    <col min="12556" max="12556" width="10.5703125" style="246" bestFit="1" customWidth="1"/>
    <col min="12557" max="12557" width="20.7109375" style="246" bestFit="1" customWidth="1"/>
    <col min="12558" max="12558" width="11.5703125" style="246" bestFit="1" customWidth="1"/>
    <col min="12559" max="12559" width="12.85546875" style="246" bestFit="1" customWidth="1"/>
    <col min="12560" max="12560" width="9.5703125" style="246" bestFit="1" customWidth="1"/>
    <col min="12561" max="12563" width="8.85546875" style="246"/>
    <col min="12564" max="12564" width="12.85546875" style="246" bestFit="1" customWidth="1"/>
    <col min="12565" max="12800" width="8.85546875" style="246"/>
    <col min="12801" max="12801" width="13.140625" style="246" customWidth="1"/>
    <col min="12802" max="12802" width="13.7109375" style="246" customWidth="1"/>
    <col min="12803" max="12804" width="8.85546875" style="246"/>
    <col min="12805" max="12805" width="16.28515625" style="246" customWidth="1"/>
    <col min="12806" max="12806" width="6.85546875" style="246" customWidth="1"/>
    <col min="12807" max="12807" width="18.42578125" style="246" customWidth="1"/>
    <col min="12808" max="12808" width="14" style="246" customWidth="1"/>
    <col min="12809" max="12809" width="8.85546875" style="246"/>
    <col min="12810" max="12810" width="5.42578125" style="246" customWidth="1"/>
    <col min="12811" max="12811" width="9.28515625" style="246" bestFit="1" customWidth="1"/>
    <col min="12812" max="12812" width="10.5703125" style="246" bestFit="1" customWidth="1"/>
    <col min="12813" max="12813" width="20.7109375" style="246" bestFit="1" customWidth="1"/>
    <col min="12814" max="12814" width="11.5703125" style="246" bestFit="1" customWidth="1"/>
    <col min="12815" max="12815" width="12.85546875" style="246" bestFit="1" customWidth="1"/>
    <col min="12816" max="12816" width="9.5703125" style="246" bestFit="1" customWidth="1"/>
    <col min="12817" max="12819" width="8.85546875" style="246"/>
    <col min="12820" max="12820" width="12.85546875" style="246" bestFit="1" customWidth="1"/>
    <col min="12821" max="13056" width="8.85546875" style="246"/>
    <col min="13057" max="13057" width="13.140625" style="246" customWidth="1"/>
    <col min="13058" max="13058" width="13.7109375" style="246" customWidth="1"/>
    <col min="13059" max="13060" width="8.85546875" style="246"/>
    <col min="13061" max="13061" width="16.28515625" style="246" customWidth="1"/>
    <col min="13062" max="13062" width="6.85546875" style="246" customWidth="1"/>
    <col min="13063" max="13063" width="18.42578125" style="246" customWidth="1"/>
    <col min="13064" max="13064" width="14" style="246" customWidth="1"/>
    <col min="13065" max="13065" width="8.85546875" style="246"/>
    <col min="13066" max="13066" width="5.42578125" style="246" customWidth="1"/>
    <col min="13067" max="13067" width="9.28515625" style="246" bestFit="1" customWidth="1"/>
    <col min="13068" max="13068" width="10.5703125" style="246" bestFit="1" customWidth="1"/>
    <col min="13069" max="13069" width="20.7109375" style="246" bestFit="1" customWidth="1"/>
    <col min="13070" max="13070" width="11.5703125" style="246" bestFit="1" customWidth="1"/>
    <col min="13071" max="13071" width="12.85546875" style="246" bestFit="1" customWidth="1"/>
    <col min="13072" max="13072" width="9.5703125" style="246" bestFit="1" customWidth="1"/>
    <col min="13073" max="13075" width="8.85546875" style="246"/>
    <col min="13076" max="13076" width="12.85546875" style="246" bestFit="1" customWidth="1"/>
    <col min="13077" max="13312" width="8.85546875" style="246"/>
    <col min="13313" max="13313" width="13.140625" style="246" customWidth="1"/>
    <col min="13314" max="13314" width="13.7109375" style="246" customWidth="1"/>
    <col min="13315" max="13316" width="8.85546875" style="246"/>
    <col min="13317" max="13317" width="16.28515625" style="246" customWidth="1"/>
    <col min="13318" max="13318" width="6.85546875" style="246" customWidth="1"/>
    <col min="13319" max="13319" width="18.42578125" style="246" customWidth="1"/>
    <col min="13320" max="13320" width="14" style="246" customWidth="1"/>
    <col min="13321" max="13321" width="8.85546875" style="246"/>
    <col min="13322" max="13322" width="5.42578125" style="246" customWidth="1"/>
    <col min="13323" max="13323" width="9.28515625" style="246" bestFit="1" customWidth="1"/>
    <col min="13324" max="13324" width="10.5703125" style="246" bestFit="1" customWidth="1"/>
    <col min="13325" max="13325" width="20.7109375" style="246" bestFit="1" customWidth="1"/>
    <col min="13326" max="13326" width="11.5703125" style="246" bestFit="1" customWidth="1"/>
    <col min="13327" max="13327" width="12.85546875" style="246" bestFit="1" customWidth="1"/>
    <col min="13328" max="13328" width="9.5703125" style="246" bestFit="1" customWidth="1"/>
    <col min="13329" max="13331" width="8.85546875" style="246"/>
    <col min="13332" max="13332" width="12.85546875" style="246" bestFit="1" customWidth="1"/>
    <col min="13333" max="13568" width="8.85546875" style="246"/>
    <col min="13569" max="13569" width="13.140625" style="246" customWidth="1"/>
    <col min="13570" max="13570" width="13.7109375" style="246" customWidth="1"/>
    <col min="13571" max="13572" width="8.85546875" style="246"/>
    <col min="13573" max="13573" width="16.28515625" style="246" customWidth="1"/>
    <col min="13574" max="13574" width="6.85546875" style="246" customWidth="1"/>
    <col min="13575" max="13575" width="18.42578125" style="246" customWidth="1"/>
    <col min="13576" max="13576" width="14" style="246" customWidth="1"/>
    <col min="13577" max="13577" width="8.85546875" style="246"/>
    <col min="13578" max="13578" width="5.42578125" style="246" customWidth="1"/>
    <col min="13579" max="13579" width="9.28515625" style="246" bestFit="1" customWidth="1"/>
    <col min="13580" max="13580" width="10.5703125" style="246" bestFit="1" customWidth="1"/>
    <col min="13581" max="13581" width="20.7109375" style="246" bestFit="1" customWidth="1"/>
    <col min="13582" max="13582" width="11.5703125" style="246" bestFit="1" customWidth="1"/>
    <col min="13583" max="13583" width="12.85546875" style="246" bestFit="1" customWidth="1"/>
    <col min="13584" max="13584" width="9.5703125" style="246" bestFit="1" customWidth="1"/>
    <col min="13585" max="13587" width="8.85546875" style="246"/>
    <col min="13588" max="13588" width="12.85546875" style="246" bestFit="1" customWidth="1"/>
    <col min="13589" max="13824" width="8.85546875" style="246"/>
    <col min="13825" max="13825" width="13.140625" style="246" customWidth="1"/>
    <col min="13826" max="13826" width="13.7109375" style="246" customWidth="1"/>
    <col min="13827" max="13828" width="8.85546875" style="246"/>
    <col min="13829" max="13829" width="16.28515625" style="246" customWidth="1"/>
    <col min="13830" max="13830" width="6.85546875" style="246" customWidth="1"/>
    <col min="13831" max="13831" width="18.42578125" style="246" customWidth="1"/>
    <col min="13832" max="13832" width="14" style="246" customWidth="1"/>
    <col min="13833" max="13833" width="8.85546875" style="246"/>
    <col min="13834" max="13834" width="5.42578125" style="246" customWidth="1"/>
    <col min="13835" max="13835" width="9.28515625" style="246" bestFit="1" customWidth="1"/>
    <col min="13836" max="13836" width="10.5703125" style="246" bestFit="1" customWidth="1"/>
    <col min="13837" max="13837" width="20.7109375" style="246" bestFit="1" customWidth="1"/>
    <col min="13838" max="13838" width="11.5703125" style="246" bestFit="1" customWidth="1"/>
    <col min="13839" max="13839" width="12.85546875" style="246" bestFit="1" customWidth="1"/>
    <col min="13840" max="13840" width="9.5703125" style="246" bestFit="1" customWidth="1"/>
    <col min="13841" max="13843" width="8.85546875" style="246"/>
    <col min="13844" max="13844" width="12.85546875" style="246" bestFit="1" customWidth="1"/>
    <col min="13845" max="14080" width="8.85546875" style="246"/>
    <col min="14081" max="14081" width="13.140625" style="246" customWidth="1"/>
    <col min="14082" max="14082" width="13.7109375" style="246" customWidth="1"/>
    <col min="14083" max="14084" width="8.85546875" style="246"/>
    <col min="14085" max="14085" width="16.28515625" style="246" customWidth="1"/>
    <col min="14086" max="14086" width="6.85546875" style="246" customWidth="1"/>
    <col min="14087" max="14087" width="18.42578125" style="246" customWidth="1"/>
    <col min="14088" max="14088" width="14" style="246" customWidth="1"/>
    <col min="14089" max="14089" width="8.85546875" style="246"/>
    <col min="14090" max="14090" width="5.42578125" style="246" customWidth="1"/>
    <col min="14091" max="14091" width="9.28515625" style="246" bestFit="1" customWidth="1"/>
    <col min="14092" max="14092" width="10.5703125" style="246" bestFit="1" customWidth="1"/>
    <col min="14093" max="14093" width="20.7109375" style="246" bestFit="1" customWidth="1"/>
    <col min="14094" max="14094" width="11.5703125" style="246" bestFit="1" customWidth="1"/>
    <col min="14095" max="14095" width="12.85546875" style="246" bestFit="1" customWidth="1"/>
    <col min="14096" max="14096" width="9.5703125" style="246" bestFit="1" customWidth="1"/>
    <col min="14097" max="14099" width="8.85546875" style="246"/>
    <col min="14100" max="14100" width="12.85546875" style="246" bestFit="1" customWidth="1"/>
    <col min="14101" max="14336" width="8.85546875" style="246"/>
    <col min="14337" max="14337" width="13.140625" style="246" customWidth="1"/>
    <col min="14338" max="14338" width="13.7109375" style="246" customWidth="1"/>
    <col min="14339" max="14340" width="8.85546875" style="246"/>
    <col min="14341" max="14341" width="16.28515625" style="246" customWidth="1"/>
    <col min="14342" max="14342" width="6.85546875" style="246" customWidth="1"/>
    <col min="14343" max="14343" width="18.42578125" style="246" customWidth="1"/>
    <col min="14344" max="14344" width="14" style="246" customWidth="1"/>
    <col min="14345" max="14345" width="8.85546875" style="246"/>
    <col min="14346" max="14346" width="5.42578125" style="246" customWidth="1"/>
    <col min="14347" max="14347" width="9.28515625" style="246" bestFit="1" customWidth="1"/>
    <col min="14348" max="14348" width="10.5703125" style="246" bestFit="1" customWidth="1"/>
    <col min="14349" max="14349" width="20.7109375" style="246" bestFit="1" customWidth="1"/>
    <col min="14350" max="14350" width="11.5703125" style="246" bestFit="1" customWidth="1"/>
    <col min="14351" max="14351" width="12.85546875" style="246" bestFit="1" customWidth="1"/>
    <col min="14352" max="14352" width="9.5703125" style="246" bestFit="1" customWidth="1"/>
    <col min="14353" max="14355" width="8.85546875" style="246"/>
    <col min="14356" max="14356" width="12.85546875" style="246" bestFit="1" customWidth="1"/>
    <col min="14357" max="14592" width="8.85546875" style="246"/>
    <col min="14593" max="14593" width="13.140625" style="246" customWidth="1"/>
    <col min="14594" max="14594" width="13.7109375" style="246" customWidth="1"/>
    <col min="14595" max="14596" width="8.85546875" style="246"/>
    <col min="14597" max="14597" width="16.28515625" style="246" customWidth="1"/>
    <col min="14598" max="14598" width="6.85546875" style="246" customWidth="1"/>
    <col min="14599" max="14599" width="18.42578125" style="246" customWidth="1"/>
    <col min="14600" max="14600" width="14" style="246" customWidth="1"/>
    <col min="14601" max="14601" width="8.85546875" style="246"/>
    <col min="14602" max="14602" width="5.42578125" style="246" customWidth="1"/>
    <col min="14603" max="14603" width="9.28515625" style="246" bestFit="1" customWidth="1"/>
    <col min="14604" max="14604" width="10.5703125" style="246" bestFit="1" customWidth="1"/>
    <col min="14605" max="14605" width="20.7109375" style="246" bestFit="1" customWidth="1"/>
    <col min="14606" max="14606" width="11.5703125" style="246" bestFit="1" customWidth="1"/>
    <col min="14607" max="14607" width="12.85546875" style="246" bestFit="1" customWidth="1"/>
    <col min="14608" max="14608" width="9.5703125" style="246" bestFit="1" customWidth="1"/>
    <col min="14609" max="14611" width="8.85546875" style="246"/>
    <col min="14612" max="14612" width="12.85546875" style="246" bestFit="1" customWidth="1"/>
    <col min="14613" max="14848" width="8.85546875" style="246"/>
    <col min="14849" max="14849" width="13.140625" style="246" customWidth="1"/>
    <col min="14850" max="14850" width="13.7109375" style="246" customWidth="1"/>
    <col min="14851" max="14852" width="8.85546875" style="246"/>
    <col min="14853" max="14853" width="16.28515625" style="246" customWidth="1"/>
    <col min="14854" max="14854" width="6.85546875" style="246" customWidth="1"/>
    <col min="14855" max="14855" width="18.42578125" style="246" customWidth="1"/>
    <col min="14856" max="14856" width="14" style="246" customWidth="1"/>
    <col min="14857" max="14857" width="8.85546875" style="246"/>
    <col min="14858" max="14858" width="5.42578125" style="246" customWidth="1"/>
    <col min="14859" max="14859" width="9.28515625" style="246" bestFit="1" customWidth="1"/>
    <col min="14860" max="14860" width="10.5703125" style="246" bestFit="1" customWidth="1"/>
    <col min="14861" max="14861" width="20.7109375" style="246" bestFit="1" customWidth="1"/>
    <col min="14862" max="14862" width="11.5703125" style="246" bestFit="1" customWidth="1"/>
    <col min="14863" max="14863" width="12.85546875" style="246" bestFit="1" customWidth="1"/>
    <col min="14864" max="14864" width="9.5703125" style="246" bestFit="1" customWidth="1"/>
    <col min="14865" max="14867" width="8.85546875" style="246"/>
    <col min="14868" max="14868" width="12.85546875" style="246" bestFit="1" customWidth="1"/>
    <col min="14869" max="15104" width="8.85546875" style="246"/>
    <col min="15105" max="15105" width="13.140625" style="246" customWidth="1"/>
    <col min="15106" max="15106" width="13.7109375" style="246" customWidth="1"/>
    <col min="15107" max="15108" width="8.85546875" style="246"/>
    <col min="15109" max="15109" width="16.28515625" style="246" customWidth="1"/>
    <col min="15110" max="15110" width="6.85546875" style="246" customWidth="1"/>
    <col min="15111" max="15111" width="18.42578125" style="246" customWidth="1"/>
    <col min="15112" max="15112" width="14" style="246" customWidth="1"/>
    <col min="15113" max="15113" width="8.85546875" style="246"/>
    <col min="15114" max="15114" width="5.42578125" style="246" customWidth="1"/>
    <col min="15115" max="15115" width="9.28515625" style="246" bestFit="1" customWidth="1"/>
    <col min="15116" max="15116" width="10.5703125" style="246" bestFit="1" customWidth="1"/>
    <col min="15117" max="15117" width="20.7109375" style="246" bestFit="1" customWidth="1"/>
    <col min="15118" max="15118" width="11.5703125" style="246" bestFit="1" customWidth="1"/>
    <col min="15119" max="15119" width="12.85546875" style="246" bestFit="1" customWidth="1"/>
    <col min="15120" max="15120" width="9.5703125" style="246" bestFit="1" customWidth="1"/>
    <col min="15121" max="15123" width="8.85546875" style="246"/>
    <col min="15124" max="15124" width="12.85546875" style="246" bestFit="1" customWidth="1"/>
    <col min="15125" max="15360" width="8.85546875" style="246"/>
    <col min="15361" max="15361" width="13.140625" style="246" customWidth="1"/>
    <col min="15362" max="15362" width="13.7109375" style="246" customWidth="1"/>
    <col min="15363" max="15364" width="8.85546875" style="246"/>
    <col min="15365" max="15365" width="16.28515625" style="246" customWidth="1"/>
    <col min="15366" max="15366" width="6.85546875" style="246" customWidth="1"/>
    <col min="15367" max="15367" width="18.42578125" style="246" customWidth="1"/>
    <col min="15368" max="15368" width="14" style="246" customWidth="1"/>
    <col min="15369" max="15369" width="8.85546875" style="246"/>
    <col min="15370" max="15370" width="5.42578125" style="246" customWidth="1"/>
    <col min="15371" max="15371" width="9.28515625" style="246" bestFit="1" customWidth="1"/>
    <col min="15372" max="15372" width="10.5703125" style="246" bestFit="1" customWidth="1"/>
    <col min="15373" max="15373" width="20.7109375" style="246" bestFit="1" customWidth="1"/>
    <col min="15374" max="15374" width="11.5703125" style="246" bestFit="1" customWidth="1"/>
    <col min="15375" max="15375" width="12.85546875" style="246" bestFit="1" customWidth="1"/>
    <col min="15376" max="15376" width="9.5703125" style="246" bestFit="1" customWidth="1"/>
    <col min="15377" max="15379" width="8.85546875" style="246"/>
    <col min="15380" max="15380" width="12.85546875" style="246" bestFit="1" customWidth="1"/>
    <col min="15381" max="15616" width="8.85546875" style="246"/>
    <col min="15617" max="15617" width="13.140625" style="246" customWidth="1"/>
    <col min="15618" max="15618" width="13.7109375" style="246" customWidth="1"/>
    <col min="15619" max="15620" width="8.85546875" style="246"/>
    <col min="15621" max="15621" width="16.28515625" style="246" customWidth="1"/>
    <col min="15622" max="15622" width="6.85546875" style="246" customWidth="1"/>
    <col min="15623" max="15623" width="18.42578125" style="246" customWidth="1"/>
    <col min="15624" max="15624" width="14" style="246" customWidth="1"/>
    <col min="15625" max="15625" width="8.85546875" style="246"/>
    <col min="15626" max="15626" width="5.42578125" style="246" customWidth="1"/>
    <col min="15627" max="15627" width="9.28515625" style="246" bestFit="1" customWidth="1"/>
    <col min="15628" max="15628" width="10.5703125" style="246" bestFit="1" customWidth="1"/>
    <col min="15629" max="15629" width="20.7109375" style="246" bestFit="1" customWidth="1"/>
    <col min="15630" max="15630" width="11.5703125" style="246" bestFit="1" customWidth="1"/>
    <col min="15631" max="15631" width="12.85546875" style="246" bestFit="1" customWidth="1"/>
    <col min="15632" max="15632" width="9.5703125" style="246" bestFit="1" customWidth="1"/>
    <col min="15633" max="15635" width="8.85546875" style="246"/>
    <col min="15636" max="15636" width="12.85546875" style="246" bestFit="1" customWidth="1"/>
    <col min="15637" max="15872" width="8.85546875" style="246"/>
    <col min="15873" max="15873" width="13.140625" style="246" customWidth="1"/>
    <col min="15874" max="15874" width="13.7109375" style="246" customWidth="1"/>
    <col min="15875" max="15876" width="8.85546875" style="246"/>
    <col min="15877" max="15877" width="16.28515625" style="246" customWidth="1"/>
    <col min="15878" max="15878" width="6.85546875" style="246" customWidth="1"/>
    <col min="15879" max="15879" width="18.42578125" style="246" customWidth="1"/>
    <col min="15880" max="15880" width="14" style="246" customWidth="1"/>
    <col min="15881" max="15881" width="8.85546875" style="246"/>
    <col min="15882" max="15882" width="5.42578125" style="246" customWidth="1"/>
    <col min="15883" max="15883" width="9.28515625" style="246" bestFit="1" customWidth="1"/>
    <col min="15884" max="15884" width="10.5703125" style="246" bestFit="1" customWidth="1"/>
    <col min="15885" max="15885" width="20.7109375" style="246" bestFit="1" customWidth="1"/>
    <col min="15886" max="15886" width="11.5703125" style="246" bestFit="1" customWidth="1"/>
    <col min="15887" max="15887" width="12.85546875" style="246" bestFit="1" customWidth="1"/>
    <col min="15888" max="15888" width="9.5703125" style="246" bestFit="1" customWidth="1"/>
    <col min="15889" max="15891" width="8.85546875" style="246"/>
    <col min="15892" max="15892" width="12.85546875" style="246" bestFit="1" customWidth="1"/>
    <col min="15893" max="16128" width="8.85546875" style="246"/>
    <col min="16129" max="16129" width="13.140625" style="246" customWidth="1"/>
    <col min="16130" max="16130" width="13.7109375" style="246" customWidth="1"/>
    <col min="16131" max="16132" width="8.85546875" style="246"/>
    <col min="16133" max="16133" width="16.28515625" style="246" customWidth="1"/>
    <col min="16134" max="16134" width="6.85546875" style="246" customWidth="1"/>
    <col min="16135" max="16135" width="18.42578125" style="246" customWidth="1"/>
    <col min="16136" max="16136" width="14" style="246" customWidth="1"/>
    <col min="16137" max="16137" width="8.85546875" style="246"/>
    <col min="16138" max="16138" width="5.42578125" style="246" customWidth="1"/>
    <col min="16139" max="16139" width="9.28515625" style="246" bestFit="1" customWidth="1"/>
    <col min="16140" max="16140" width="10.5703125" style="246" bestFit="1" customWidth="1"/>
    <col min="16141" max="16141" width="20.7109375" style="246" bestFit="1" customWidth="1"/>
    <col min="16142" max="16142" width="11.5703125" style="246" bestFit="1" customWidth="1"/>
    <col min="16143" max="16143" width="12.85546875" style="246" bestFit="1" customWidth="1"/>
    <col min="16144" max="16144" width="9.5703125" style="246" bestFit="1" customWidth="1"/>
    <col min="16145" max="16147" width="8.85546875" style="246"/>
    <col min="16148" max="16148" width="12.85546875" style="246" bestFit="1" customWidth="1"/>
    <col min="16149" max="16384" width="8.85546875" style="246"/>
  </cols>
  <sheetData>
    <row r="1" spans="2:13" ht="15.6" customHeight="1">
      <c r="B1" s="245"/>
      <c r="C1" s="245"/>
      <c r="D1" s="245"/>
      <c r="E1" s="245"/>
      <c r="F1" s="245"/>
      <c r="G1" s="245"/>
      <c r="H1" s="245"/>
      <c r="I1" s="245"/>
      <c r="J1" s="245"/>
    </row>
    <row r="2" spans="2:13">
      <c r="B2" s="245"/>
      <c r="C2" s="245"/>
      <c r="D2" s="245"/>
      <c r="E2" s="245"/>
      <c r="F2" s="245"/>
      <c r="G2" s="245"/>
      <c r="H2" s="397" t="s">
        <v>340</v>
      </c>
      <c r="I2" s="397"/>
      <c r="J2" s="397"/>
    </row>
    <row r="3" spans="2:13">
      <c r="B3" s="245"/>
      <c r="C3" s="245"/>
      <c r="D3" s="245"/>
      <c r="E3" s="245"/>
      <c r="F3" s="245"/>
      <c r="G3" s="245"/>
      <c r="H3" s="248"/>
      <c r="I3" s="248"/>
      <c r="J3" s="248"/>
    </row>
    <row r="4" spans="2:13" s="250" customFormat="1" ht="28.9" customHeight="1">
      <c r="B4" s="249"/>
      <c r="C4" s="400" t="s">
        <v>341</v>
      </c>
      <c r="D4" s="400"/>
      <c r="E4" s="400"/>
      <c r="F4" s="400"/>
      <c r="G4" s="400"/>
      <c r="H4" s="401">
        <v>1000</v>
      </c>
      <c r="I4" s="401"/>
      <c r="J4" s="249"/>
      <c r="M4" s="251"/>
    </row>
    <row r="5" spans="2:13" ht="21.6" customHeight="1">
      <c r="B5" s="252"/>
      <c r="C5" s="398" t="str">
        <f>hbl!L3</f>
        <v xml:space="preserve"> One Thousand Only******* </v>
      </c>
      <c r="D5" s="398"/>
      <c r="E5" s="398"/>
      <c r="F5" s="398"/>
      <c r="G5" s="398"/>
      <c r="H5" s="401"/>
      <c r="I5" s="401"/>
      <c r="J5" s="245"/>
    </row>
    <row r="6" spans="2:13" ht="18" customHeight="1">
      <c r="B6" s="245"/>
      <c r="C6" s="398"/>
      <c r="D6" s="398"/>
      <c r="E6" s="398"/>
      <c r="F6" s="398"/>
      <c r="G6" s="398"/>
      <c r="H6" s="401"/>
      <c r="I6" s="401"/>
      <c r="J6" s="245"/>
    </row>
    <row r="7" spans="2:13" ht="18" customHeight="1">
      <c r="B7" s="252"/>
      <c r="C7" s="398"/>
      <c r="D7" s="398"/>
      <c r="E7" s="398"/>
      <c r="F7" s="398"/>
      <c r="G7" s="398"/>
      <c r="H7" s="253"/>
      <c r="I7" s="245"/>
      <c r="J7" s="245"/>
    </row>
    <row r="8" spans="2:13" ht="18" customHeight="1">
      <c r="B8" s="399"/>
      <c r="C8" s="399"/>
      <c r="D8" s="399"/>
      <c r="E8" s="399"/>
      <c r="F8" s="252"/>
      <c r="G8" s="245"/>
      <c r="H8" s="254"/>
      <c r="I8" s="245" t="s">
        <v>234</v>
      </c>
      <c r="J8" s="245"/>
    </row>
    <row r="9" spans="2:13">
      <c r="B9" s="245"/>
      <c r="C9" s="245"/>
      <c r="D9" s="245"/>
      <c r="E9" s="245"/>
      <c r="F9" s="245"/>
      <c r="G9" s="245"/>
      <c r="H9" s="245"/>
      <c r="I9" s="245"/>
      <c r="J9" s="245"/>
      <c r="K9" s="255"/>
      <c r="M9" s="256"/>
    </row>
    <row r="10" spans="2:13" s="245" customFormat="1" ht="12.75"/>
    <row r="11" spans="2:13">
      <c r="K11" s="255"/>
    </row>
    <row r="12" spans="2:13">
      <c r="H12" s="247"/>
      <c r="K12" s="255"/>
    </row>
    <row r="17" spans="11:20">
      <c r="K17" s="257"/>
    </row>
    <row r="18" spans="11:20" ht="18.75">
      <c r="K18" s="257"/>
      <c r="L18" s="258"/>
      <c r="M18" s="257"/>
      <c r="N18" s="257"/>
      <c r="O18" s="258"/>
      <c r="P18" s="259"/>
    </row>
    <row r="20" spans="11:20">
      <c r="L20" s="258"/>
      <c r="M20" s="257"/>
      <c r="O20" s="258"/>
      <c r="T20" s="257"/>
    </row>
    <row r="21" spans="11:20">
      <c r="L21" s="258"/>
      <c r="O21" s="258"/>
      <c r="R21" s="260"/>
      <c r="T21" s="257"/>
    </row>
    <row r="22" spans="11:20">
      <c r="O22" s="258"/>
      <c r="R22" s="260"/>
      <c r="T22" s="258"/>
    </row>
    <row r="23" spans="11:20">
      <c r="O23" s="258"/>
      <c r="R23" s="260"/>
    </row>
    <row r="24" spans="11:20">
      <c r="O24" s="258"/>
      <c r="R24" s="260"/>
    </row>
    <row r="25" spans="11:20">
      <c r="R25" s="260"/>
    </row>
    <row r="26" spans="11:20">
      <c r="R26" s="261"/>
    </row>
    <row r="27" spans="11:20">
      <c r="L27" s="258"/>
      <c r="O27" s="258"/>
      <c r="R27" s="260"/>
    </row>
    <row r="29" spans="11:20">
      <c r="N29" s="258"/>
      <c r="R29" s="260"/>
    </row>
    <row r="30" spans="11:20">
      <c r="Q30" s="262"/>
    </row>
    <row r="36" spans="13:14">
      <c r="M36" s="257"/>
      <c r="N36" s="257"/>
    </row>
    <row r="38" spans="13:14">
      <c r="N38" s="247"/>
    </row>
  </sheetData>
  <mergeCells count="5">
    <mergeCell ref="H2:J2"/>
    <mergeCell ref="C5:G7"/>
    <mergeCell ref="B8:E8"/>
    <mergeCell ref="C4:G4"/>
    <mergeCell ref="H4:I6"/>
  </mergeCells>
  <pageMargins left="1.08" right="0.16" top="1.1499999999999999" bottom="1" header="0.5" footer="0.5"/>
  <pageSetup paperSize="27" scale="8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L44"/>
  <sheetViews>
    <sheetView topLeftCell="B1" zoomScale="75" workbookViewId="0">
      <selection activeCell="I39" sqref="I39"/>
    </sheetView>
  </sheetViews>
  <sheetFormatPr defaultColWidth="9.140625" defaultRowHeight="12.75"/>
  <cols>
    <col min="1" max="1" width="7.140625" style="205" customWidth="1"/>
    <col min="2" max="2" width="9.85546875" style="205" customWidth="1"/>
    <col min="3" max="3" width="12.85546875" style="205" bestFit="1" customWidth="1"/>
    <col min="4" max="4" width="13.7109375" style="205" customWidth="1"/>
    <col min="5" max="5" width="12.85546875" style="205" customWidth="1"/>
    <col min="6" max="6" width="16.5703125" style="205" customWidth="1"/>
    <col min="7" max="7" width="13.7109375" style="205" customWidth="1"/>
    <col min="8" max="8" width="16.28515625" style="205" bestFit="1" customWidth="1"/>
    <col min="9" max="9" width="12.85546875" style="205" customWidth="1"/>
    <col min="10" max="10" width="10.85546875" style="205" customWidth="1"/>
    <col min="11" max="11" width="9.140625" style="205"/>
    <col min="12" max="12" width="55.42578125" style="205" customWidth="1"/>
    <col min="13" max="256" width="9.140625" style="205"/>
    <col min="257" max="257" width="7.140625" style="205" customWidth="1"/>
    <col min="258" max="258" width="9.85546875" style="205" customWidth="1"/>
    <col min="259" max="259" width="12.85546875" style="205" bestFit="1" customWidth="1"/>
    <col min="260" max="260" width="13.7109375" style="205" customWidth="1"/>
    <col min="261" max="261" width="12.85546875" style="205" customWidth="1"/>
    <col min="262" max="262" width="16.5703125" style="205" customWidth="1"/>
    <col min="263" max="263" width="13.7109375" style="205" customWidth="1"/>
    <col min="264" max="264" width="16.28515625" style="205" bestFit="1" customWidth="1"/>
    <col min="265" max="265" width="12.85546875" style="205" customWidth="1"/>
    <col min="266" max="266" width="10.85546875" style="205" customWidth="1"/>
    <col min="267" max="267" width="9.140625" style="205"/>
    <col min="268" max="268" width="55.42578125" style="205" customWidth="1"/>
    <col min="269" max="512" width="9.140625" style="205"/>
    <col min="513" max="513" width="7.140625" style="205" customWidth="1"/>
    <col min="514" max="514" width="9.85546875" style="205" customWidth="1"/>
    <col min="515" max="515" width="12.85546875" style="205" bestFit="1" customWidth="1"/>
    <col min="516" max="516" width="13.7109375" style="205" customWidth="1"/>
    <col min="517" max="517" width="12.85546875" style="205" customWidth="1"/>
    <col min="518" max="518" width="16.5703125" style="205" customWidth="1"/>
    <col min="519" max="519" width="13.7109375" style="205" customWidth="1"/>
    <col min="520" max="520" width="16.28515625" style="205" bestFit="1" customWidth="1"/>
    <col min="521" max="521" width="12.85546875" style="205" customWidth="1"/>
    <col min="522" max="522" width="10.85546875" style="205" customWidth="1"/>
    <col min="523" max="523" width="9.140625" style="205"/>
    <col min="524" max="524" width="55.42578125" style="205" customWidth="1"/>
    <col min="525" max="768" width="9.140625" style="205"/>
    <col min="769" max="769" width="7.140625" style="205" customWidth="1"/>
    <col min="770" max="770" width="9.85546875" style="205" customWidth="1"/>
    <col min="771" max="771" width="12.85546875" style="205" bestFit="1" customWidth="1"/>
    <col min="772" max="772" width="13.7109375" style="205" customWidth="1"/>
    <col min="773" max="773" width="12.85546875" style="205" customWidth="1"/>
    <col min="774" max="774" width="16.5703125" style="205" customWidth="1"/>
    <col min="775" max="775" width="13.7109375" style="205" customWidth="1"/>
    <col min="776" max="776" width="16.28515625" style="205" bestFit="1" customWidth="1"/>
    <col min="777" max="777" width="12.85546875" style="205" customWidth="1"/>
    <col min="778" max="778" width="10.85546875" style="205" customWidth="1"/>
    <col min="779" max="779" width="9.140625" style="205"/>
    <col min="780" max="780" width="55.42578125" style="205" customWidth="1"/>
    <col min="781" max="1024" width="9.140625" style="205"/>
    <col min="1025" max="1025" width="7.140625" style="205" customWidth="1"/>
    <col min="1026" max="1026" width="9.85546875" style="205" customWidth="1"/>
    <col min="1027" max="1027" width="12.85546875" style="205" bestFit="1" customWidth="1"/>
    <col min="1028" max="1028" width="13.7109375" style="205" customWidth="1"/>
    <col min="1029" max="1029" width="12.85546875" style="205" customWidth="1"/>
    <col min="1030" max="1030" width="16.5703125" style="205" customWidth="1"/>
    <col min="1031" max="1031" width="13.7109375" style="205" customWidth="1"/>
    <col min="1032" max="1032" width="16.28515625" style="205" bestFit="1" customWidth="1"/>
    <col min="1033" max="1033" width="12.85546875" style="205" customWidth="1"/>
    <col min="1034" max="1034" width="10.85546875" style="205" customWidth="1"/>
    <col min="1035" max="1035" width="9.140625" style="205"/>
    <col min="1036" max="1036" width="55.42578125" style="205" customWidth="1"/>
    <col min="1037" max="1280" width="9.140625" style="205"/>
    <col min="1281" max="1281" width="7.140625" style="205" customWidth="1"/>
    <col min="1282" max="1282" width="9.85546875" style="205" customWidth="1"/>
    <col min="1283" max="1283" width="12.85546875" style="205" bestFit="1" customWidth="1"/>
    <col min="1284" max="1284" width="13.7109375" style="205" customWidth="1"/>
    <col min="1285" max="1285" width="12.85546875" style="205" customWidth="1"/>
    <col min="1286" max="1286" width="16.5703125" style="205" customWidth="1"/>
    <col min="1287" max="1287" width="13.7109375" style="205" customWidth="1"/>
    <col min="1288" max="1288" width="16.28515625" style="205" bestFit="1" customWidth="1"/>
    <col min="1289" max="1289" width="12.85546875" style="205" customWidth="1"/>
    <col min="1290" max="1290" width="10.85546875" style="205" customWidth="1"/>
    <col min="1291" max="1291" width="9.140625" style="205"/>
    <col min="1292" max="1292" width="55.42578125" style="205" customWidth="1"/>
    <col min="1293" max="1536" width="9.140625" style="205"/>
    <col min="1537" max="1537" width="7.140625" style="205" customWidth="1"/>
    <col min="1538" max="1538" width="9.85546875" style="205" customWidth="1"/>
    <col min="1539" max="1539" width="12.85546875" style="205" bestFit="1" customWidth="1"/>
    <col min="1540" max="1540" width="13.7109375" style="205" customWidth="1"/>
    <col min="1541" max="1541" width="12.85546875" style="205" customWidth="1"/>
    <col min="1542" max="1542" width="16.5703125" style="205" customWidth="1"/>
    <col min="1543" max="1543" width="13.7109375" style="205" customWidth="1"/>
    <col min="1544" max="1544" width="16.28515625" style="205" bestFit="1" customWidth="1"/>
    <col min="1545" max="1545" width="12.85546875" style="205" customWidth="1"/>
    <col min="1546" max="1546" width="10.85546875" style="205" customWidth="1"/>
    <col min="1547" max="1547" width="9.140625" style="205"/>
    <col min="1548" max="1548" width="55.42578125" style="205" customWidth="1"/>
    <col min="1549" max="1792" width="9.140625" style="205"/>
    <col min="1793" max="1793" width="7.140625" style="205" customWidth="1"/>
    <col min="1794" max="1794" width="9.85546875" style="205" customWidth="1"/>
    <col min="1795" max="1795" width="12.85546875" style="205" bestFit="1" customWidth="1"/>
    <col min="1796" max="1796" width="13.7109375" style="205" customWidth="1"/>
    <col min="1797" max="1797" width="12.85546875" style="205" customWidth="1"/>
    <col min="1798" max="1798" width="16.5703125" style="205" customWidth="1"/>
    <col min="1799" max="1799" width="13.7109375" style="205" customWidth="1"/>
    <col min="1800" max="1800" width="16.28515625" style="205" bestFit="1" customWidth="1"/>
    <col min="1801" max="1801" width="12.85546875" style="205" customWidth="1"/>
    <col min="1802" max="1802" width="10.85546875" style="205" customWidth="1"/>
    <col min="1803" max="1803" width="9.140625" style="205"/>
    <col min="1804" max="1804" width="55.42578125" style="205" customWidth="1"/>
    <col min="1805" max="2048" width="9.140625" style="205"/>
    <col min="2049" max="2049" width="7.140625" style="205" customWidth="1"/>
    <col min="2050" max="2050" width="9.85546875" style="205" customWidth="1"/>
    <col min="2051" max="2051" width="12.85546875" style="205" bestFit="1" customWidth="1"/>
    <col min="2052" max="2052" width="13.7109375" style="205" customWidth="1"/>
    <col min="2053" max="2053" width="12.85546875" style="205" customWidth="1"/>
    <col min="2054" max="2054" width="16.5703125" style="205" customWidth="1"/>
    <col min="2055" max="2055" width="13.7109375" style="205" customWidth="1"/>
    <col min="2056" max="2056" width="16.28515625" style="205" bestFit="1" customWidth="1"/>
    <col min="2057" max="2057" width="12.85546875" style="205" customWidth="1"/>
    <col min="2058" max="2058" width="10.85546875" style="205" customWidth="1"/>
    <col min="2059" max="2059" width="9.140625" style="205"/>
    <col min="2060" max="2060" width="55.42578125" style="205" customWidth="1"/>
    <col min="2061" max="2304" width="9.140625" style="205"/>
    <col min="2305" max="2305" width="7.140625" style="205" customWidth="1"/>
    <col min="2306" max="2306" width="9.85546875" style="205" customWidth="1"/>
    <col min="2307" max="2307" width="12.85546875" style="205" bestFit="1" customWidth="1"/>
    <col min="2308" max="2308" width="13.7109375" style="205" customWidth="1"/>
    <col min="2309" max="2309" width="12.85546875" style="205" customWidth="1"/>
    <col min="2310" max="2310" width="16.5703125" style="205" customWidth="1"/>
    <col min="2311" max="2311" width="13.7109375" style="205" customWidth="1"/>
    <col min="2312" max="2312" width="16.28515625" style="205" bestFit="1" customWidth="1"/>
    <col min="2313" max="2313" width="12.85546875" style="205" customWidth="1"/>
    <col min="2314" max="2314" width="10.85546875" style="205" customWidth="1"/>
    <col min="2315" max="2315" width="9.140625" style="205"/>
    <col min="2316" max="2316" width="55.42578125" style="205" customWidth="1"/>
    <col min="2317" max="2560" width="9.140625" style="205"/>
    <col min="2561" max="2561" width="7.140625" style="205" customWidth="1"/>
    <col min="2562" max="2562" width="9.85546875" style="205" customWidth="1"/>
    <col min="2563" max="2563" width="12.85546875" style="205" bestFit="1" customWidth="1"/>
    <col min="2564" max="2564" width="13.7109375" style="205" customWidth="1"/>
    <col min="2565" max="2565" width="12.85546875" style="205" customWidth="1"/>
    <col min="2566" max="2566" width="16.5703125" style="205" customWidth="1"/>
    <col min="2567" max="2567" width="13.7109375" style="205" customWidth="1"/>
    <col min="2568" max="2568" width="16.28515625" style="205" bestFit="1" customWidth="1"/>
    <col min="2569" max="2569" width="12.85546875" style="205" customWidth="1"/>
    <col min="2570" max="2570" width="10.85546875" style="205" customWidth="1"/>
    <col min="2571" max="2571" width="9.140625" style="205"/>
    <col min="2572" max="2572" width="55.42578125" style="205" customWidth="1"/>
    <col min="2573" max="2816" width="9.140625" style="205"/>
    <col min="2817" max="2817" width="7.140625" style="205" customWidth="1"/>
    <col min="2818" max="2818" width="9.85546875" style="205" customWidth="1"/>
    <col min="2819" max="2819" width="12.85546875" style="205" bestFit="1" customWidth="1"/>
    <col min="2820" max="2820" width="13.7109375" style="205" customWidth="1"/>
    <col min="2821" max="2821" width="12.85546875" style="205" customWidth="1"/>
    <col min="2822" max="2822" width="16.5703125" style="205" customWidth="1"/>
    <col min="2823" max="2823" width="13.7109375" style="205" customWidth="1"/>
    <col min="2824" max="2824" width="16.28515625" style="205" bestFit="1" customWidth="1"/>
    <col min="2825" max="2825" width="12.85546875" style="205" customWidth="1"/>
    <col min="2826" max="2826" width="10.85546875" style="205" customWidth="1"/>
    <col min="2827" max="2827" width="9.140625" style="205"/>
    <col min="2828" max="2828" width="55.42578125" style="205" customWidth="1"/>
    <col min="2829" max="3072" width="9.140625" style="205"/>
    <col min="3073" max="3073" width="7.140625" style="205" customWidth="1"/>
    <col min="3074" max="3074" width="9.85546875" style="205" customWidth="1"/>
    <col min="3075" max="3075" width="12.85546875" style="205" bestFit="1" customWidth="1"/>
    <col min="3076" max="3076" width="13.7109375" style="205" customWidth="1"/>
    <col min="3077" max="3077" width="12.85546875" style="205" customWidth="1"/>
    <col min="3078" max="3078" width="16.5703125" style="205" customWidth="1"/>
    <col min="3079" max="3079" width="13.7109375" style="205" customWidth="1"/>
    <col min="3080" max="3080" width="16.28515625" style="205" bestFit="1" customWidth="1"/>
    <col min="3081" max="3081" width="12.85546875" style="205" customWidth="1"/>
    <col min="3082" max="3082" width="10.85546875" style="205" customWidth="1"/>
    <col min="3083" max="3083" width="9.140625" style="205"/>
    <col min="3084" max="3084" width="55.42578125" style="205" customWidth="1"/>
    <col min="3085" max="3328" width="9.140625" style="205"/>
    <col min="3329" max="3329" width="7.140625" style="205" customWidth="1"/>
    <col min="3330" max="3330" width="9.85546875" style="205" customWidth="1"/>
    <col min="3331" max="3331" width="12.85546875" style="205" bestFit="1" customWidth="1"/>
    <col min="3332" max="3332" width="13.7109375" style="205" customWidth="1"/>
    <col min="3333" max="3333" width="12.85546875" style="205" customWidth="1"/>
    <col min="3334" max="3334" width="16.5703125" style="205" customWidth="1"/>
    <col min="3335" max="3335" width="13.7109375" style="205" customWidth="1"/>
    <col min="3336" max="3336" width="16.28515625" style="205" bestFit="1" customWidth="1"/>
    <col min="3337" max="3337" width="12.85546875" style="205" customWidth="1"/>
    <col min="3338" max="3338" width="10.85546875" style="205" customWidth="1"/>
    <col min="3339" max="3339" width="9.140625" style="205"/>
    <col min="3340" max="3340" width="55.42578125" style="205" customWidth="1"/>
    <col min="3341" max="3584" width="9.140625" style="205"/>
    <col min="3585" max="3585" width="7.140625" style="205" customWidth="1"/>
    <col min="3586" max="3586" width="9.85546875" style="205" customWidth="1"/>
    <col min="3587" max="3587" width="12.85546875" style="205" bestFit="1" customWidth="1"/>
    <col min="3588" max="3588" width="13.7109375" style="205" customWidth="1"/>
    <col min="3589" max="3589" width="12.85546875" style="205" customWidth="1"/>
    <col min="3590" max="3590" width="16.5703125" style="205" customWidth="1"/>
    <col min="3591" max="3591" width="13.7109375" style="205" customWidth="1"/>
    <col min="3592" max="3592" width="16.28515625" style="205" bestFit="1" customWidth="1"/>
    <col min="3593" max="3593" width="12.85546875" style="205" customWidth="1"/>
    <col min="3594" max="3594" width="10.85546875" style="205" customWidth="1"/>
    <col min="3595" max="3595" width="9.140625" style="205"/>
    <col min="3596" max="3596" width="55.42578125" style="205" customWidth="1"/>
    <col min="3597" max="3840" width="9.140625" style="205"/>
    <col min="3841" max="3841" width="7.140625" style="205" customWidth="1"/>
    <col min="3842" max="3842" width="9.85546875" style="205" customWidth="1"/>
    <col min="3843" max="3843" width="12.85546875" style="205" bestFit="1" customWidth="1"/>
    <col min="3844" max="3844" width="13.7109375" style="205" customWidth="1"/>
    <col min="3845" max="3845" width="12.85546875" style="205" customWidth="1"/>
    <col min="3846" max="3846" width="16.5703125" style="205" customWidth="1"/>
    <col min="3847" max="3847" width="13.7109375" style="205" customWidth="1"/>
    <col min="3848" max="3848" width="16.28515625" style="205" bestFit="1" customWidth="1"/>
    <col min="3849" max="3849" width="12.85546875" style="205" customWidth="1"/>
    <col min="3850" max="3850" width="10.85546875" style="205" customWidth="1"/>
    <col min="3851" max="3851" width="9.140625" style="205"/>
    <col min="3852" max="3852" width="55.42578125" style="205" customWidth="1"/>
    <col min="3853" max="4096" width="9.140625" style="205"/>
    <col min="4097" max="4097" width="7.140625" style="205" customWidth="1"/>
    <col min="4098" max="4098" width="9.85546875" style="205" customWidth="1"/>
    <col min="4099" max="4099" width="12.85546875" style="205" bestFit="1" customWidth="1"/>
    <col min="4100" max="4100" width="13.7109375" style="205" customWidth="1"/>
    <col min="4101" max="4101" width="12.85546875" style="205" customWidth="1"/>
    <col min="4102" max="4102" width="16.5703125" style="205" customWidth="1"/>
    <col min="4103" max="4103" width="13.7109375" style="205" customWidth="1"/>
    <col min="4104" max="4104" width="16.28515625" style="205" bestFit="1" customWidth="1"/>
    <col min="4105" max="4105" width="12.85546875" style="205" customWidth="1"/>
    <col min="4106" max="4106" width="10.85546875" style="205" customWidth="1"/>
    <col min="4107" max="4107" width="9.140625" style="205"/>
    <col min="4108" max="4108" width="55.42578125" style="205" customWidth="1"/>
    <col min="4109" max="4352" width="9.140625" style="205"/>
    <col min="4353" max="4353" width="7.140625" style="205" customWidth="1"/>
    <col min="4354" max="4354" width="9.85546875" style="205" customWidth="1"/>
    <col min="4355" max="4355" width="12.85546875" style="205" bestFit="1" customWidth="1"/>
    <col min="4356" max="4356" width="13.7109375" style="205" customWidth="1"/>
    <col min="4357" max="4357" width="12.85546875" style="205" customWidth="1"/>
    <col min="4358" max="4358" width="16.5703125" style="205" customWidth="1"/>
    <col min="4359" max="4359" width="13.7109375" style="205" customWidth="1"/>
    <col min="4360" max="4360" width="16.28515625" style="205" bestFit="1" customWidth="1"/>
    <col min="4361" max="4361" width="12.85546875" style="205" customWidth="1"/>
    <col min="4362" max="4362" width="10.85546875" style="205" customWidth="1"/>
    <col min="4363" max="4363" width="9.140625" style="205"/>
    <col min="4364" max="4364" width="55.42578125" style="205" customWidth="1"/>
    <col min="4365" max="4608" width="9.140625" style="205"/>
    <col min="4609" max="4609" width="7.140625" style="205" customWidth="1"/>
    <col min="4610" max="4610" width="9.85546875" style="205" customWidth="1"/>
    <col min="4611" max="4611" width="12.85546875" style="205" bestFit="1" customWidth="1"/>
    <col min="4612" max="4612" width="13.7109375" style="205" customWidth="1"/>
    <col min="4613" max="4613" width="12.85546875" style="205" customWidth="1"/>
    <col min="4614" max="4614" width="16.5703125" style="205" customWidth="1"/>
    <col min="4615" max="4615" width="13.7109375" style="205" customWidth="1"/>
    <col min="4616" max="4616" width="16.28515625" style="205" bestFit="1" customWidth="1"/>
    <col min="4617" max="4617" width="12.85546875" style="205" customWidth="1"/>
    <col min="4618" max="4618" width="10.85546875" style="205" customWidth="1"/>
    <col min="4619" max="4619" width="9.140625" style="205"/>
    <col min="4620" max="4620" width="55.42578125" style="205" customWidth="1"/>
    <col min="4621" max="4864" width="9.140625" style="205"/>
    <col min="4865" max="4865" width="7.140625" style="205" customWidth="1"/>
    <col min="4866" max="4866" width="9.85546875" style="205" customWidth="1"/>
    <col min="4867" max="4867" width="12.85546875" style="205" bestFit="1" customWidth="1"/>
    <col min="4868" max="4868" width="13.7109375" style="205" customWidth="1"/>
    <col min="4869" max="4869" width="12.85546875" style="205" customWidth="1"/>
    <col min="4870" max="4870" width="16.5703125" style="205" customWidth="1"/>
    <col min="4871" max="4871" width="13.7109375" style="205" customWidth="1"/>
    <col min="4872" max="4872" width="16.28515625" style="205" bestFit="1" customWidth="1"/>
    <col min="4873" max="4873" width="12.85546875" style="205" customWidth="1"/>
    <col min="4874" max="4874" width="10.85546875" style="205" customWidth="1"/>
    <col min="4875" max="4875" width="9.140625" style="205"/>
    <col min="4876" max="4876" width="55.42578125" style="205" customWidth="1"/>
    <col min="4877" max="5120" width="9.140625" style="205"/>
    <col min="5121" max="5121" width="7.140625" style="205" customWidth="1"/>
    <col min="5122" max="5122" width="9.85546875" style="205" customWidth="1"/>
    <col min="5123" max="5123" width="12.85546875" style="205" bestFit="1" customWidth="1"/>
    <col min="5124" max="5124" width="13.7109375" style="205" customWidth="1"/>
    <col min="5125" max="5125" width="12.85546875" style="205" customWidth="1"/>
    <col min="5126" max="5126" width="16.5703125" style="205" customWidth="1"/>
    <col min="5127" max="5127" width="13.7109375" style="205" customWidth="1"/>
    <col min="5128" max="5128" width="16.28515625" style="205" bestFit="1" customWidth="1"/>
    <col min="5129" max="5129" width="12.85546875" style="205" customWidth="1"/>
    <col min="5130" max="5130" width="10.85546875" style="205" customWidth="1"/>
    <col min="5131" max="5131" width="9.140625" style="205"/>
    <col min="5132" max="5132" width="55.42578125" style="205" customWidth="1"/>
    <col min="5133" max="5376" width="9.140625" style="205"/>
    <col min="5377" max="5377" width="7.140625" style="205" customWidth="1"/>
    <col min="5378" max="5378" width="9.85546875" style="205" customWidth="1"/>
    <col min="5379" max="5379" width="12.85546875" style="205" bestFit="1" customWidth="1"/>
    <col min="5380" max="5380" width="13.7109375" style="205" customWidth="1"/>
    <col min="5381" max="5381" width="12.85546875" style="205" customWidth="1"/>
    <col min="5382" max="5382" width="16.5703125" style="205" customWidth="1"/>
    <col min="5383" max="5383" width="13.7109375" style="205" customWidth="1"/>
    <col min="5384" max="5384" width="16.28515625" style="205" bestFit="1" customWidth="1"/>
    <col min="5385" max="5385" width="12.85546875" style="205" customWidth="1"/>
    <col min="5386" max="5386" width="10.85546875" style="205" customWidth="1"/>
    <col min="5387" max="5387" width="9.140625" style="205"/>
    <col min="5388" max="5388" width="55.42578125" style="205" customWidth="1"/>
    <col min="5389" max="5632" width="9.140625" style="205"/>
    <col min="5633" max="5633" width="7.140625" style="205" customWidth="1"/>
    <col min="5634" max="5634" width="9.85546875" style="205" customWidth="1"/>
    <col min="5635" max="5635" width="12.85546875" style="205" bestFit="1" customWidth="1"/>
    <col min="5636" max="5636" width="13.7109375" style="205" customWidth="1"/>
    <col min="5637" max="5637" width="12.85546875" style="205" customWidth="1"/>
    <col min="5638" max="5638" width="16.5703125" style="205" customWidth="1"/>
    <col min="5639" max="5639" width="13.7109375" style="205" customWidth="1"/>
    <col min="5640" max="5640" width="16.28515625" style="205" bestFit="1" customWidth="1"/>
    <col min="5641" max="5641" width="12.85546875" style="205" customWidth="1"/>
    <col min="5642" max="5642" width="10.85546875" style="205" customWidth="1"/>
    <col min="5643" max="5643" width="9.140625" style="205"/>
    <col min="5644" max="5644" width="55.42578125" style="205" customWidth="1"/>
    <col min="5645" max="5888" width="9.140625" style="205"/>
    <col min="5889" max="5889" width="7.140625" style="205" customWidth="1"/>
    <col min="5890" max="5890" width="9.85546875" style="205" customWidth="1"/>
    <col min="5891" max="5891" width="12.85546875" style="205" bestFit="1" customWidth="1"/>
    <col min="5892" max="5892" width="13.7109375" style="205" customWidth="1"/>
    <col min="5893" max="5893" width="12.85546875" style="205" customWidth="1"/>
    <col min="5894" max="5894" width="16.5703125" style="205" customWidth="1"/>
    <col min="5895" max="5895" width="13.7109375" style="205" customWidth="1"/>
    <col min="5896" max="5896" width="16.28515625" style="205" bestFit="1" customWidth="1"/>
    <col min="5897" max="5897" width="12.85546875" style="205" customWidth="1"/>
    <col min="5898" max="5898" width="10.85546875" style="205" customWidth="1"/>
    <col min="5899" max="5899" width="9.140625" style="205"/>
    <col min="5900" max="5900" width="55.42578125" style="205" customWidth="1"/>
    <col min="5901" max="6144" width="9.140625" style="205"/>
    <col min="6145" max="6145" width="7.140625" style="205" customWidth="1"/>
    <col min="6146" max="6146" width="9.85546875" style="205" customWidth="1"/>
    <col min="6147" max="6147" width="12.85546875" style="205" bestFit="1" customWidth="1"/>
    <col min="6148" max="6148" width="13.7109375" style="205" customWidth="1"/>
    <col min="6149" max="6149" width="12.85546875" style="205" customWidth="1"/>
    <col min="6150" max="6150" width="16.5703125" style="205" customWidth="1"/>
    <col min="6151" max="6151" width="13.7109375" style="205" customWidth="1"/>
    <col min="6152" max="6152" width="16.28515625" style="205" bestFit="1" customWidth="1"/>
    <col min="6153" max="6153" width="12.85546875" style="205" customWidth="1"/>
    <col min="6154" max="6154" width="10.85546875" style="205" customWidth="1"/>
    <col min="6155" max="6155" width="9.140625" style="205"/>
    <col min="6156" max="6156" width="55.42578125" style="205" customWidth="1"/>
    <col min="6157" max="6400" width="9.140625" style="205"/>
    <col min="6401" max="6401" width="7.140625" style="205" customWidth="1"/>
    <col min="6402" max="6402" width="9.85546875" style="205" customWidth="1"/>
    <col min="6403" max="6403" width="12.85546875" style="205" bestFit="1" customWidth="1"/>
    <col min="6404" max="6404" width="13.7109375" style="205" customWidth="1"/>
    <col min="6405" max="6405" width="12.85546875" style="205" customWidth="1"/>
    <col min="6406" max="6406" width="16.5703125" style="205" customWidth="1"/>
    <col min="6407" max="6407" width="13.7109375" style="205" customWidth="1"/>
    <col min="6408" max="6408" width="16.28515625" style="205" bestFit="1" customWidth="1"/>
    <col min="6409" max="6409" width="12.85546875" style="205" customWidth="1"/>
    <col min="6410" max="6410" width="10.85546875" style="205" customWidth="1"/>
    <col min="6411" max="6411" width="9.140625" style="205"/>
    <col min="6412" max="6412" width="55.42578125" style="205" customWidth="1"/>
    <col min="6413" max="6656" width="9.140625" style="205"/>
    <col min="6657" max="6657" width="7.140625" style="205" customWidth="1"/>
    <col min="6658" max="6658" width="9.85546875" style="205" customWidth="1"/>
    <col min="6659" max="6659" width="12.85546875" style="205" bestFit="1" customWidth="1"/>
    <col min="6660" max="6660" width="13.7109375" style="205" customWidth="1"/>
    <col min="6661" max="6661" width="12.85546875" style="205" customWidth="1"/>
    <col min="6662" max="6662" width="16.5703125" style="205" customWidth="1"/>
    <col min="6663" max="6663" width="13.7109375" style="205" customWidth="1"/>
    <col min="6664" max="6664" width="16.28515625" style="205" bestFit="1" customWidth="1"/>
    <col min="6665" max="6665" width="12.85546875" style="205" customWidth="1"/>
    <col min="6666" max="6666" width="10.85546875" style="205" customWidth="1"/>
    <col min="6667" max="6667" width="9.140625" style="205"/>
    <col min="6668" max="6668" width="55.42578125" style="205" customWidth="1"/>
    <col min="6669" max="6912" width="9.140625" style="205"/>
    <col min="6913" max="6913" width="7.140625" style="205" customWidth="1"/>
    <col min="6914" max="6914" width="9.85546875" style="205" customWidth="1"/>
    <col min="6915" max="6915" width="12.85546875" style="205" bestFit="1" customWidth="1"/>
    <col min="6916" max="6916" width="13.7109375" style="205" customWidth="1"/>
    <col min="6917" max="6917" width="12.85546875" style="205" customWidth="1"/>
    <col min="6918" max="6918" width="16.5703125" style="205" customWidth="1"/>
    <col min="6919" max="6919" width="13.7109375" style="205" customWidth="1"/>
    <col min="6920" max="6920" width="16.28515625" style="205" bestFit="1" customWidth="1"/>
    <col min="6921" max="6921" width="12.85546875" style="205" customWidth="1"/>
    <col min="6922" max="6922" width="10.85546875" style="205" customWidth="1"/>
    <col min="6923" max="6923" width="9.140625" style="205"/>
    <col min="6924" max="6924" width="55.42578125" style="205" customWidth="1"/>
    <col min="6925" max="7168" width="9.140625" style="205"/>
    <col min="7169" max="7169" width="7.140625" style="205" customWidth="1"/>
    <col min="7170" max="7170" width="9.85546875" style="205" customWidth="1"/>
    <col min="7171" max="7171" width="12.85546875" style="205" bestFit="1" customWidth="1"/>
    <col min="7172" max="7172" width="13.7109375" style="205" customWidth="1"/>
    <col min="7173" max="7173" width="12.85546875" style="205" customWidth="1"/>
    <col min="7174" max="7174" width="16.5703125" style="205" customWidth="1"/>
    <col min="7175" max="7175" width="13.7109375" style="205" customWidth="1"/>
    <col min="7176" max="7176" width="16.28515625" style="205" bestFit="1" customWidth="1"/>
    <col min="7177" max="7177" width="12.85546875" style="205" customWidth="1"/>
    <col min="7178" max="7178" width="10.85546875" style="205" customWidth="1"/>
    <col min="7179" max="7179" width="9.140625" style="205"/>
    <col min="7180" max="7180" width="55.42578125" style="205" customWidth="1"/>
    <col min="7181" max="7424" width="9.140625" style="205"/>
    <col min="7425" max="7425" width="7.140625" style="205" customWidth="1"/>
    <col min="7426" max="7426" width="9.85546875" style="205" customWidth="1"/>
    <col min="7427" max="7427" width="12.85546875" style="205" bestFit="1" customWidth="1"/>
    <col min="7428" max="7428" width="13.7109375" style="205" customWidth="1"/>
    <col min="7429" max="7429" width="12.85546875" style="205" customWidth="1"/>
    <col min="7430" max="7430" width="16.5703125" style="205" customWidth="1"/>
    <col min="7431" max="7431" width="13.7109375" style="205" customWidth="1"/>
    <col min="7432" max="7432" width="16.28515625" style="205" bestFit="1" customWidth="1"/>
    <col min="7433" max="7433" width="12.85546875" style="205" customWidth="1"/>
    <col min="7434" max="7434" width="10.85546875" style="205" customWidth="1"/>
    <col min="7435" max="7435" width="9.140625" style="205"/>
    <col min="7436" max="7436" width="55.42578125" style="205" customWidth="1"/>
    <col min="7437" max="7680" width="9.140625" style="205"/>
    <col min="7681" max="7681" width="7.140625" style="205" customWidth="1"/>
    <col min="7682" max="7682" width="9.85546875" style="205" customWidth="1"/>
    <col min="7683" max="7683" width="12.85546875" style="205" bestFit="1" customWidth="1"/>
    <col min="7684" max="7684" width="13.7109375" style="205" customWidth="1"/>
    <col min="7685" max="7685" width="12.85546875" style="205" customWidth="1"/>
    <col min="7686" max="7686" width="16.5703125" style="205" customWidth="1"/>
    <col min="7687" max="7687" width="13.7109375" style="205" customWidth="1"/>
    <col min="7688" max="7688" width="16.28515625" style="205" bestFit="1" customWidth="1"/>
    <col min="7689" max="7689" width="12.85546875" style="205" customWidth="1"/>
    <col min="7690" max="7690" width="10.85546875" style="205" customWidth="1"/>
    <col min="7691" max="7691" width="9.140625" style="205"/>
    <col min="7692" max="7692" width="55.42578125" style="205" customWidth="1"/>
    <col min="7693" max="7936" width="9.140625" style="205"/>
    <col min="7937" max="7937" width="7.140625" style="205" customWidth="1"/>
    <col min="7938" max="7938" width="9.85546875" style="205" customWidth="1"/>
    <col min="7939" max="7939" width="12.85546875" style="205" bestFit="1" customWidth="1"/>
    <col min="7940" max="7940" width="13.7109375" style="205" customWidth="1"/>
    <col min="7941" max="7941" width="12.85546875" style="205" customWidth="1"/>
    <col min="7942" max="7942" width="16.5703125" style="205" customWidth="1"/>
    <col min="7943" max="7943" width="13.7109375" style="205" customWidth="1"/>
    <col min="7944" max="7944" width="16.28515625" style="205" bestFit="1" customWidth="1"/>
    <col min="7945" max="7945" width="12.85546875" style="205" customWidth="1"/>
    <col min="7946" max="7946" width="10.85546875" style="205" customWidth="1"/>
    <col min="7947" max="7947" width="9.140625" style="205"/>
    <col min="7948" max="7948" width="55.42578125" style="205" customWidth="1"/>
    <col min="7949" max="8192" width="9.140625" style="205"/>
    <col min="8193" max="8193" width="7.140625" style="205" customWidth="1"/>
    <col min="8194" max="8194" width="9.85546875" style="205" customWidth="1"/>
    <col min="8195" max="8195" width="12.85546875" style="205" bestFit="1" customWidth="1"/>
    <col min="8196" max="8196" width="13.7109375" style="205" customWidth="1"/>
    <col min="8197" max="8197" width="12.85546875" style="205" customWidth="1"/>
    <col min="8198" max="8198" width="16.5703125" style="205" customWidth="1"/>
    <col min="8199" max="8199" width="13.7109375" style="205" customWidth="1"/>
    <col min="8200" max="8200" width="16.28515625" style="205" bestFit="1" customWidth="1"/>
    <col min="8201" max="8201" width="12.85546875" style="205" customWidth="1"/>
    <col min="8202" max="8202" width="10.85546875" style="205" customWidth="1"/>
    <col min="8203" max="8203" width="9.140625" style="205"/>
    <col min="8204" max="8204" width="55.42578125" style="205" customWidth="1"/>
    <col min="8205" max="8448" width="9.140625" style="205"/>
    <col min="8449" max="8449" width="7.140625" style="205" customWidth="1"/>
    <col min="8450" max="8450" width="9.85546875" style="205" customWidth="1"/>
    <col min="8451" max="8451" width="12.85546875" style="205" bestFit="1" customWidth="1"/>
    <col min="8452" max="8452" width="13.7109375" style="205" customWidth="1"/>
    <col min="8453" max="8453" width="12.85546875" style="205" customWidth="1"/>
    <col min="8454" max="8454" width="16.5703125" style="205" customWidth="1"/>
    <col min="8455" max="8455" width="13.7109375" style="205" customWidth="1"/>
    <col min="8456" max="8456" width="16.28515625" style="205" bestFit="1" customWidth="1"/>
    <col min="8457" max="8457" width="12.85546875" style="205" customWidth="1"/>
    <col min="8458" max="8458" width="10.85546875" style="205" customWidth="1"/>
    <col min="8459" max="8459" width="9.140625" style="205"/>
    <col min="8460" max="8460" width="55.42578125" style="205" customWidth="1"/>
    <col min="8461" max="8704" width="9.140625" style="205"/>
    <col min="8705" max="8705" width="7.140625" style="205" customWidth="1"/>
    <col min="8706" max="8706" width="9.85546875" style="205" customWidth="1"/>
    <col min="8707" max="8707" width="12.85546875" style="205" bestFit="1" customWidth="1"/>
    <col min="8708" max="8708" width="13.7109375" style="205" customWidth="1"/>
    <col min="8709" max="8709" width="12.85546875" style="205" customWidth="1"/>
    <col min="8710" max="8710" width="16.5703125" style="205" customWidth="1"/>
    <col min="8711" max="8711" width="13.7109375" style="205" customWidth="1"/>
    <col min="8712" max="8712" width="16.28515625" style="205" bestFit="1" customWidth="1"/>
    <col min="8713" max="8713" width="12.85546875" style="205" customWidth="1"/>
    <col min="8714" max="8714" width="10.85546875" style="205" customWidth="1"/>
    <col min="8715" max="8715" width="9.140625" style="205"/>
    <col min="8716" max="8716" width="55.42578125" style="205" customWidth="1"/>
    <col min="8717" max="8960" width="9.140625" style="205"/>
    <col min="8961" max="8961" width="7.140625" style="205" customWidth="1"/>
    <col min="8962" max="8962" width="9.85546875" style="205" customWidth="1"/>
    <col min="8963" max="8963" width="12.85546875" style="205" bestFit="1" customWidth="1"/>
    <col min="8964" max="8964" width="13.7109375" style="205" customWidth="1"/>
    <col min="8965" max="8965" width="12.85546875" style="205" customWidth="1"/>
    <col min="8966" max="8966" width="16.5703125" style="205" customWidth="1"/>
    <col min="8967" max="8967" width="13.7109375" style="205" customWidth="1"/>
    <col min="8968" max="8968" width="16.28515625" style="205" bestFit="1" customWidth="1"/>
    <col min="8969" max="8969" width="12.85546875" style="205" customWidth="1"/>
    <col min="8970" max="8970" width="10.85546875" style="205" customWidth="1"/>
    <col min="8971" max="8971" width="9.140625" style="205"/>
    <col min="8972" max="8972" width="55.42578125" style="205" customWidth="1"/>
    <col min="8973" max="9216" width="9.140625" style="205"/>
    <col min="9217" max="9217" width="7.140625" style="205" customWidth="1"/>
    <col min="9218" max="9218" width="9.85546875" style="205" customWidth="1"/>
    <col min="9219" max="9219" width="12.85546875" style="205" bestFit="1" customWidth="1"/>
    <col min="9220" max="9220" width="13.7109375" style="205" customWidth="1"/>
    <col min="9221" max="9221" width="12.85546875" style="205" customWidth="1"/>
    <col min="9222" max="9222" width="16.5703125" style="205" customWidth="1"/>
    <col min="9223" max="9223" width="13.7109375" style="205" customWidth="1"/>
    <col min="9224" max="9224" width="16.28515625" style="205" bestFit="1" customWidth="1"/>
    <col min="9225" max="9225" width="12.85546875" style="205" customWidth="1"/>
    <col min="9226" max="9226" width="10.85546875" style="205" customWidth="1"/>
    <col min="9227" max="9227" width="9.140625" style="205"/>
    <col min="9228" max="9228" width="55.42578125" style="205" customWidth="1"/>
    <col min="9229" max="9472" width="9.140625" style="205"/>
    <col min="9473" max="9473" width="7.140625" style="205" customWidth="1"/>
    <col min="9474" max="9474" width="9.85546875" style="205" customWidth="1"/>
    <col min="9475" max="9475" width="12.85546875" style="205" bestFit="1" customWidth="1"/>
    <col min="9476" max="9476" width="13.7109375" style="205" customWidth="1"/>
    <col min="9477" max="9477" width="12.85546875" style="205" customWidth="1"/>
    <col min="9478" max="9478" width="16.5703125" style="205" customWidth="1"/>
    <col min="9479" max="9479" width="13.7109375" style="205" customWidth="1"/>
    <col min="9480" max="9480" width="16.28515625" style="205" bestFit="1" customWidth="1"/>
    <col min="9481" max="9481" width="12.85546875" style="205" customWidth="1"/>
    <col min="9482" max="9482" width="10.85546875" style="205" customWidth="1"/>
    <col min="9483" max="9483" width="9.140625" style="205"/>
    <col min="9484" max="9484" width="55.42578125" style="205" customWidth="1"/>
    <col min="9485" max="9728" width="9.140625" style="205"/>
    <col min="9729" max="9729" width="7.140625" style="205" customWidth="1"/>
    <col min="9730" max="9730" width="9.85546875" style="205" customWidth="1"/>
    <col min="9731" max="9731" width="12.85546875" style="205" bestFit="1" customWidth="1"/>
    <col min="9732" max="9732" width="13.7109375" style="205" customWidth="1"/>
    <col min="9733" max="9733" width="12.85546875" style="205" customWidth="1"/>
    <col min="9734" max="9734" width="16.5703125" style="205" customWidth="1"/>
    <col min="9735" max="9735" width="13.7109375" style="205" customWidth="1"/>
    <col min="9736" max="9736" width="16.28515625" style="205" bestFit="1" customWidth="1"/>
    <col min="9737" max="9737" width="12.85546875" style="205" customWidth="1"/>
    <col min="9738" max="9738" width="10.85546875" style="205" customWidth="1"/>
    <col min="9739" max="9739" width="9.140625" style="205"/>
    <col min="9740" max="9740" width="55.42578125" style="205" customWidth="1"/>
    <col min="9741" max="9984" width="9.140625" style="205"/>
    <col min="9985" max="9985" width="7.140625" style="205" customWidth="1"/>
    <col min="9986" max="9986" width="9.85546875" style="205" customWidth="1"/>
    <col min="9987" max="9987" width="12.85546875" style="205" bestFit="1" customWidth="1"/>
    <col min="9988" max="9988" width="13.7109375" style="205" customWidth="1"/>
    <col min="9989" max="9989" width="12.85546875" style="205" customWidth="1"/>
    <col min="9990" max="9990" width="16.5703125" style="205" customWidth="1"/>
    <col min="9991" max="9991" width="13.7109375" style="205" customWidth="1"/>
    <col min="9992" max="9992" width="16.28515625" style="205" bestFit="1" customWidth="1"/>
    <col min="9993" max="9993" width="12.85546875" style="205" customWidth="1"/>
    <col min="9994" max="9994" width="10.85546875" style="205" customWidth="1"/>
    <col min="9995" max="9995" width="9.140625" style="205"/>
    <col min="9996" max="9996" width="55.42578125" style="205" customWidth="1"/>
    <col min="9997" max="10240" width="9.140625" style="205"/>
    <col min="10241" max="10241" width="7.140625" style="205" customWidth="1"/>
    <col min="10242" max="10242" width="9.85546875" style="205" customWidth="1"/>
    <col min="10243" max="10243" width="12.85546875" style="205" bestFit="1" customWidth="1"/>
    <col min="10244" max="10244" width="13.7109375" style="205" customWidth="1"/>
    <col min="10245" max="10245" width="12.85546875" style="205" customWidth="1"/>
    <col min="10246" max="10246" width="16.5703125" style="205" customWidth="1"/>
    <col min="10247" max="10247" width="13.7109375" style="205" customWidth="1"/>
    <col min="10248" max="10248" width="16.28515625" style="205" bestFit="1" customWidth="1"/>
    <col min="10249" max="10249" width="12.85546875" style="205" customWidth="1"/>
    <col min="10250" max="10250" width="10.85546875" style="205" customWidth="1"/>
    <col min="10251" max="10251" width="9.140625" style="205"/>
    <col min="10252" max="10252" width="55.42578125" style="205" customWidth="1"/>
    <col min="10253" max="10496" width="9.140625" style="205"/>
    <col min="10497" max="10497" width="7.140625" style="205" customWidth="1"/>
    <col min="10498" max="10498" width="9.85546875" style="205" customWidth="1"/>
    <col min="10499" max="10499" width="12.85546875" style="205" bestFit="1" customWidth="1"/>
    <col min="10500" max="10500" width="13.7109375" style="205" customWidth="1"/>
    <col min="10501" max="10501" width="12.85546875" style="205" customWidth="1"/>
    <col min="10502" max="10502" width="16.5703125" style="205" customWidth="1"/>
    <col min="10503" max="10503" width="13.7109375" style="205" customWidth="1"/>
    <col min="10504" max="10504" width="16.28515625" style="205" bestFit="1" customWidth="1"/>
    <col min="10505" max="10505" width="12.85546875" style="205" customWidth="1"/>
    <col min="10506" max="10506" width="10.85546875" style="205" customWidth="1"/>
    <col min="10507" max="10507" width="9.140625" style="205"/>
    <col min="10508" max="10508" width="55.42578125" style="205" customWidth="1"/>
    <col min="10509" max="10752" width="9.140625" style="205"/>
    <col min="10753" max="10753" width="7.140625" style="205" customWidth="1"/>
    <col min="10754" max="10754" width="9.85546875" style="205" customWidth="1"/>
    <col min="10755" max="10755" width="12.85546875" style="205" bestFit="1" customWidth="1"/>
    <col min="10756" max="10756" width="13.7109375" style="205" customWidth="1"/>
    <col min="10757" max="10757" width="12.85546875" style="205" customWidth="1"/>
    <col min="10758" max="10758" width="16.5703125" style="205" customWidth="1"/>
    <col min="10759" max="10759" width="13.7109375" style="205" customWidth="1"/>
    <col min="10760" max="10760" width="16.28515625" style="205" bestFit="1" customWidth="1"/>
    <col min="10761" max="10761" width="12.85546875" style="205" customWidth="1"/>
    <col min="10762" max="10762" width="10.85546875" style="205" customWidth="1"/>
    <col min="10763" max="10763" width="9.140625" style="205"/>
    <col min="10764" max="10764" width="55.42578125" style="205" customWidth="1"/>
    <col min="10765" max="11008" width="9.140625" style="205"/>
    <col min="11009" max="11009" width="7.140625" style="205" customWidth="1"/>
    <col min="11010" max="11010" width="9.85546875" style="205" customWidth="1"/>
    <col min="11011" max="11011" width="12.85546875" style="205" bestFit="1" customWidth="1"/>
    <col min="11012" max="11012" width="13.7109375" style="205" customWidth="1"/>
    <col min="11013" max="11013" width="12.85546875" style="205" customWidth="1"/>
    <col min="11014" max="11014" width="16.5703125" style="205" customWidth="1"/>
    <col min="11015" max="11015" width="13.7109375" style="205" customWidth="1"/>
    <col min="11016" max="11016" width="16.28515625" style="205" bestFit="1" customWidth="1"/>
    <col min="11017" max="11017" width="12.85546875" style="205" customWidth="1"/>
    <col min="11018" max="11018" width="10.85546875" style="205" customWidth="1"/>
    <col min="11019" max="11019" width="9.140625" style="205"/>
    <col min="11020" max="11020" width="55.42578125" style="205" customWidth="1"/>
    <col min="11021" max="11264" width="9.140625" style="205"/>
    <col min="11265" max="11265" width="7.140625" style="205" customWidth="1"/>
    <col min="11266" max="11266" width="9.85546875" style="205" customWidth="1"/>
    <col min="11267" max="11267" width="12.85546875" style="205" bestFit="1" customWidth="1"/>
    <col min="11268" max="11268" width="13.7109375" style="205" customWidth="1"/>
    <col min="11269" max="11269" width="12.85546875" style="205" customWidth="1"/>
    <col min="11270" max="11270" width="16.5703125" style="205" customWidth="1"/>
    <col min="11271" max="11271" width="13.7109375" style="205" customWidth="1"/>
    <col min="11272" max="11272" width="16.28515625" style="205" bestFit="1" customWidth="1"/>
    <col min="11273" max="11273" width="12.85546875" style="205" customWidth="1"/>
    <col min="11274" max="11274" width="10.85546875" style="205" customWidth="1"/>
    <col min="11275" max="11275" width="9.140625" style="205"/>
    <col min="11276" max="11276" width="55.42578125" style="205" customWidth="1"/>
    <col min="11277" max="11520" width="9.140625" style="205"/>
    <col min="11521" max="11521" width="7.140625" style="205" customWidth="1"/>
    <col min="11522" max="11522" width="9.85546875" style="205" customWidth="1"/>
    <col min="11523" max="11523" width="12.85546875" style="205" bestFit="1" customWidth="1"/>
    <col min="11524" max="11524" width="13.7109375" style="205" customWidth="1"/>
    <col min="11525" max="11525" width="12.85546875" style="205" customWidth="1"/>
    <col min="11526" max="11526" width="16.5703125" style="205" customWidth="1"/>
    <col min="11527" max="11527" width="13.7109375" style="205" customWidth="1"/>
    <col min="11528" max="11528" width="16.28515625" style="205" bestFit="1" customWidth="1"/>
    <col min="11529" max="11529" width="12.85546875" style="205" customWidth="1"/>
    <col min="11530" max="11530" width="10.85546875" style="205" customWidth="1"/>
    <col min="11531" max="11531" width="9.140625" style="205"/>
    <col min="11532" max="11532" width="55.42578125" style="205" customWidth="1"/>
    <col min="11533" max="11776" width="9.140625" style="205"/>
    <col min="11777" max="11777" width="7.140625" style="205" customWidth="1"/>
    <col min="11778" max="11778" width="9.85546875" style="205" customWidth="1"/>
    <col min="11779" max="11779" width="12.85546875" style="205" bestFit="1" customWidth="1"/>
    <col min="11780" max="11780" width="13.7109375" style="205" customWidth="1"/>
    <col min="11781" max="11781" width="12.85546875" style="205" customWidth="1"/>
    <col min="11782" max="11782" width="16.5703125" style="205" customWidth="1"/>
    <col min="11783" max="11783" width="13.7109375" style="205" customWidth="1"/>
    <col min="11784" max="11784" width="16.28515625" style="205" bestFit="1" customWidth="1"/>
    <col min="11785" max="11785" width="12.85546875" style="205" customWidth="1"/>
    <col min="11786" max="11786" width="10.85546875" style="205" customWidth="1"/>
    <col min="11787" max="11787" width="9.140625" style="205"/>
    <col min="11788" max="11788" width="55.42578125" style="205" customWidth="1"/>
    <col min="11789" max="12032" width="9.140625" style="205"/>
    <col min="12033" max="12033" width="7.140625" style="205" customWidth="1"/>
    <col min="12034" max="12034" width="9.85546875" style="205" customWidth="1"/>
    <col min="12035" max="12035" width="12.85546875" style="205" bestFit="1" customWidth="1"/>
    <col min="12036" max="12036" width="13.7109375" style="205" customWidth="1"/>
    <col min="12037" max="12037" width="12.85546875" style="205" customWidth="1"/>
    <col min="12038" max="12038" width="16.5703125" style="205" customWidth="1"/>
    <col min="12039" max="12039" width="13.7109375" style="205" customWidth="1"/>
    <col min="12040" max="12040" width="16.28515625" style="205" bestFit="1" customWidth="1"/>
    <col min="12041" max="12041" width="12.85546875" style="205" customWidth="1"/>
    <col min="12042" max="12042" width="10.85546875" style="205" customWidth="1"/>
    <col min="12043" max="12043" width="9.140625" style="205"/>
    <col min="12044" max="12044" width="55.42578125" style="205" customWidth="1"/>
    <col min="12045" max="12288" width="9.140625" style="205"/>
    <col min="12289" max="12289" width="7.140625" style="205" customWidth="1"/>
    <col min="12290" max="12290" width="9.85546875" style="205" customWidth="1"/>
    <col min="12291" max="12291" width="12.85546875" style="205" bestFit="1" customWidth="1"/>
    <col min="12292" max="12292" width="13.7109375" style="205" customWidth="1"/>
    <col min="12293" max="12293" width="12.85546875" style="205" customWidth="1"/>
    <col min="12294" max="12294" width="16.5703125" style="205" customWidth="1"/>
    <col min="12295" max="12295" width="13.7109375" style="205" customWidth="1"/>
    <col min="12296" max="12296" width="16.28515625" style="205" bestFit="1" customWidth="1"/>
    <col min="12297" max="12297" width="12.85546875" style="205" customWidth="1"/>
    <col min="12298" max="12298" width="10.85546875" style="205" customWidth="1"/>
    <col min="12299" max="12299" width="9.140625" style="205"/>
    <col min="12300" max="12300" width="55.42578125" style="205" customWidth="1"/>
    <col min="12301" max="12544" width="9.140625" style="205"/>
    <col min="12545" max="12545" width="7.140625" style="205" customWidth="1"/>
    <col min="12546" max="12546" width="9.85546875" style="205" customWidth="1"/>
    <col min="12547" max="12547" width="12.85546875" style="205" bestFit="1" customWidth="1"/>
    <col min="12548" max="12548" width="13.7109375" style="205" customWidth="1"/>
    <col min="12549" max="12549" width="12.85546875" style="205" customWidth="1"/>
    <col min="12550" max="12550" width="16.5703125" style="205" customWidth="1"/>
    <col min="12551" max="12551" width="13.7109375" style="205" customWidth="1"/>
    <col min="12552" max="12552" width="16.28515625" style="205" bestFit="1" customWidth="1"/>
    <col min="12553" max="12553" width="12.85546875" style="205" customWidth="1"/>
    <col min="12554" max="12554" width="10.85546875" style="205" customWidth="1"/>
    <col min="12555" max="12555" width="9.140625" style="205"/>
    <col min="12556" max="12556" width="55.42578125" style="205" customWidth="1"/>
    <col min="12557" max="12800" width="9.140625" style="205"/>
    <col min="12801" max="12801" width="7.140625" style="205" customWidth="1"/>
    <col min="12802" max="12802" width="9.85546875" style="205" customWidth="1"/>
    <col min="12803" max="12803" width="12.85546875" style="205" bestFit="1" customWidth="1"/>
    <col min="12804" max="12804" width="13.7109375" style="205" customWidth="1"/>
    <col min="12805" max="12805" width="12.85546875" style="205" customWidth="1"/>
    <col min="12806" max="12806" width="16.5703125" style="205" customWidth="1"/>
    <col min="12807" max="12807" width="13.7109375" style="205" customWidth="1"/>
    <col min="12808" max="12808" width="16.28515625" style="205" bestFit="1" customWidth="1"/>
    <col min="12809" max="12809" width="12.85546875" style="205" customWidth="1"/>
    <col min="12810" max="12810" width="10.85546875" style="205" customWidth="1"/>
    <col min="12811" max="12811" width="9.140625" style="205"/>
    <col min="12812" max="12812" width="55.42578125" style="205" customWidth="1"/>
    <col min="12813" max="13056" width="9.140625" style="205"/>
    <col min="13057" max="13057" width="7.140625" style="205" customWidth="1"/>
    <col min="13058" max="13058" width="9.85546875" style="205" customWidth="1"/>
    <col min="13059" max="13059" width="12.85546875" style="205" bestFit="1" customWidth="1"/>
    <col min="13060" max="13060" width="13.7109375" style="205" customWidth="1"/>
    <col min="13061" max="13061" width="12.85546875" style="205" customWidth="1"/>
    <col min="13062" max="13062" width="16.5703125" style="205" customWidth="1"/>
    <col min="13063" max="13063" width="13.7109375" style="205" customWidth="1"/>
    <col min="13064" max="13064" width="16.28515625" style="205" bestFit="1" customWidth="1"/>
    <col min="13065" max="13065" width="12.85546875" style="205" customWidth="1"/>
    <col min="13066" max="13066" width="10.85546875" style="205" customWidth="1"/>
    <col min="13067" max="13067" width="9.140625" style="205"/>
    <col min="13068" max="13068" width="55.42578125" style="205" customWidth="1"/>
    <col min="13069" max="13312" width="9.140625" style="205"/>
    <col min="13313" max="13313" width="7.140625" style="205" customWidth="1"/>
    <col min="13314" max="13314" width="9.85546875" style="205" customWidth="1"/>
    <col min="13315" max="13315" width="12.85546875" style="205" bestFit="1" customWidth="1"/>
    <col min="13316" max="13316" width="13.7109375" style="205" customWidth="1"/>
    <col min="13317" max="13317" width="12.85546875" style="205" customWidth="1"/>
    <col min="13318" max="13318" width="16.5703125" style="205" customWidth="1"/>
    <col min="13319" max="13319" width="13.7109375" style="205" customWidth="1"/>
    <col min="13320" max="13320" width="16.28515625" style="205" bestFit="1" customWidth="1"/>
    <col min="13321" max="13321" width="12.85546875" style="205" customWidth="1"/>
    <col min="13322" max="13322" width="10.85546875" style="205" customWidth="1"/>
    <col min="13323" max="13323" width="9.140625" style="205"/>
    <col min="13324" max="13324" width="55.42578125" style="205" customWidth="1"/>
    <col min="13325" max="13568" width="9.140625" style="205"/>
    <col min="13569" max="13569" width="7.140625" style="205" customWidth="1"/>
    <col min="13570" max="13570" width="9.85546875" style="205" customWidth="1"/>
    <col min="13571" max="13571" width="12.85546875" style="205" bestFit="1" customWidth="1"/>
    <col min="13572" max="13572" width="13.7109375" style="205" customWidth="1"/>
    <col min="13573" max="13573" width="12.85546875" style="205" customWidth="1"/>
    <col min="13574" max="13574" width="16.5703125" style="205" customWidth="1"/>
    <col min="13575" max="13575" width="13.7109375" style="205" customWidth="1"/>
    <col min="13576" max="13576" width="16.28515625" style="205" bestFit="1" customWidth="1"/>
    <col min="13577" max="13577" width="12.85546875" style="205" customWidth="1"/>
    <col min="13578" max="13578" width="10.85546875" style="205" customWidth="1"/>
    <col min="13579" max="13579" width="9.140625" style="205"/>
    <col min="13580" max="13580" width="55.42578125" style="205" customWidth="1"/>
    <col min="13581" max="13824" width="9.140625" style="205"/>
    <col min="13825" max="13825" width="7.140625" style="205" customWidth="1"/>
    <col min="13826" max="13826" width="9.85546875" style="205" customWidth="1"/>
    <col min="13827" max="13827" width="12.85546875" style="205" bestFit="1" customWidth="1"/>
    <col min="13828" max="13828" width="13.7109375" style="205" customWidth="1"/>
    <col min="13829" max="13829" width="12.85546875" style="205" customWidth="1"/>
    <col min="13830" max="13830" width="16.5703125" style="205" customWidth="1"/>
    <col min="13831" max="13831" width="13.7109375" style="205" customWidth="1"/>
    <col min="13832" max="13832" width="16.28515625" style="205" bestFit="1" customWidth="1"/>
    <col min="13833" max="13833" width="12.85546875" style="205" customWidth="1"/>
    <col min="13834" max="13834" width="10.85546875" style="205" customWidth="1"/>
    <col min="13835" max="13835" width="9.140625" style="205"/>
    <col min="13836" max="13836" width="55.42578125" style="205" customWidth="1"/>
    <col min="13837" max="14080" width="9.140625" style="205"/>
    <col min="14081" max="14081" width="7.140625" style="205" customWidth="1"/>
    <col min="14082" max="14082" width="9.85546875" style="205" customWidth="1"/>
    <col min="14083" max="14083" width="12.85546875" style="205" bestFit="1" customWidth="1"/>
    <col min="14084" max="14084" width="13.7109375" style="205" customWidth="1"/>
    <col min="14085" max="14085" width="12.85546875" style="205" customWidth="1"/>
    <col min="14086" max="14086" width="16.5703125" style="205" customWidth="1"/>
    <col min="14087" max="14087" width="13.7109375" style="205" customWidth="1"/>
    <col min="14088" max="14088" width="16.28515625" style="205" bestFit="1" customWidth="1"/>
    <col min="14089" max="14089" width="12.85546875" style="205" customWidth="1"/>
    <col min="14090" max="14090" width="10.85546875" style="205" customWidth="1"/>
    <col min="14091" max="14091" width="9.140625" style="205"/>
    <col min="14092" max="14092" width="55.42578125" style="205" customWidth="1"/>
    <col min="14093" max="14336" width="9.140625" style="205"/>
    <col min="14337" max="14337" width="7.140625" style="205" customWidth="1"/>
    <col min="14338" max="14338" width="9.85546875" style="205" customWidth="1"/>
    <col min="14339" max="14339" width="12.85546875" style="205" bestFit="1" customWidth="1"/>
    <col min="14340" max="14340" width="13.7109375" style="205" customWidth="1"/>
    <col min="14341" max="14341" width="12.85546875" style="205" customWidth="1"/>
    <col min="14342" max="14342" width="16.5703125" style="205" customWidth="1"/>
    <col min="14343" max="14343" width="13.7109375" style="205" customWidth="1"/>
    <col min="14344" max="14344" width="16.28515625" style="205" bestFit="1" customWidth="1"/>
    <col min="14345" max="14345" width="12.85546875" style="205" customWidth="1"/>
    <col min="14346" max="14346" width="10.85546875" style="205" customWidth="1"/>
    <col min="14347" max="14347" width="9.140625" style="205"/>
    <col min="14348" max="14348" width="55.42578125" style="205" customWidth="1"/>
    <col min="14349" max="14592" width="9.140625" style="205"/>
    <col min="14593" max="14593" width="7.140625" style="205" customWidth="1"/>
    <col min="14594" max="14594" width="9.85546875" style="205" customWidth="1"/>
    <col min="14595" max="14595" width="12.85546875" style="205" bestFit="1" customWidth="1"/>
    <col min="14596" max="14596" width="13.7109375" style="205" customWidth="1"/>
    <col min="14597" max="14597" width="12.85546875" style="205" customWidth="1"/>
    <col min="14598" max="14598" width="16.5703125" style="205" customWidth="1"/>
    <col min="14599" max="14599" width="13.7109375" style="205" customWidth="1"/>
    <col min="14600" max="14600" width="16.28515625" style="205" bestFit="1" customWidth="1"/>
    <col min="14601" max="14601" width="12.85546875" style="205" customWidth="1"/>
    <col min="14602" max="14602" width="10.85546875" style="205" customWidth="1"/>
    <col min="14603" max="14603" width="9.140625" style="205"/>
    <col min="14604" max="14604" width="55.42578125" style="205" customWidth="1"/>
    <col min="14605" max="14848" width="9.140625" style="205"/>
    <col min="14849" max="14849" width="7.140625" style="205" customWidth="1"/>
    <col min="14850" max="14850" width="9.85546875" style="205" customWidth="1"/>
    <col min="14851" max="14851" width="12.85546875" style="205" bestFit="1" customWidth="1"/>
    <col min="14852" max="14852" width="13.7109375" style="205" customWidth="1"/>
    <col min="14853" max="14853" width="12.85546875" style="205" customWidth="1"/>
    <col min="14854" max="14854" width="16.5703125" style="205" customWidth="1"/>
    <col min="14855" max="14855" width="13.7109375" style="205" customWidth="1"/>
    <col min="14856" max="14856" width="16.28515625" style="205" bestFit="1" customWidth="1"/>
    <col min="14857" max="14857" width="12.85546875" style="205" customWidth="1"/>
    <col min="14858" max="14858" width="10.85546875" style="205" customWidth="1"/>
    <col min="14859" max="14859" width="9.140625" style="205"/>
    <col min="14860" max="14860" width="55.42578125" style="205" customWidth="1"/>
    <col min="14861" max="15104" width="9.140625" style="205"/>
    <col min="15105" max="15105" width="7.140625" style="205" customWidth="1"/>
    <col min="15106" max="15106" width="9.85546875" style="205" customWidth="1"/>
    <col min="15107" max="15107" width="12.85546875" style="205" bestFit="1" customWidth="1"/>
    <col min="15108" max="15108" width="13.7109375" style="205" customWidth="1"/>
    <col min="15109" max="15109" width="12.85546875" style="205" customWidth="1"/>
    <col min="15110" max="15110" width="16.5703125" style="205" customWidth="1"/>
    <col min="15111" max="15111" width="13.7109375" style="205" customWidth="1"/>
    <col min="15112" max="15112" width="16.28515625" style="205" bestFit="1" customWidth="1"/>
    <col min="15113" max="15113" width="12.85546875" style="205" customWidth="1"/>
    <col min="15114" max="15114" width="10.85546875" style="205" customWidth="1"/>
    <col min="15115" max="15115" width="9.140625" style="205"/>
    <col min="15116" max="15116" width="55.42578125" style="205" customWidth="1"/>
    <col min="15117" max="15360" width="9.140625" style="205"/>
    <col min="15361" max="15361" width="7.140625" style="205" customWidth="1"/>
    <col min="15362" max="15362" width="9.85546875" style="205" customWidth="1"/>
    <col min="15363" max="15363" width="12.85546875" style="205" bestFit="1" customWidth="1"/>
    <col min="15364" max="15364" width="13.7109375" style="205" customWidth="1"/>
    <col min="15365" max="15365" width="12.85546875" style="205" customWidth="1"/>
    <col min="15366" max="15366" width="16.5703125" style="205" customWidth="1"/>
    <col min="15367" max="15367" width="13.7109375" style="205" customWidth="1"/>
    <col min="15368" max="15368" width="16.28515625" style="205" bestFit="1" customWidth="1"/>
    <col min="15369" max="15369" width="12.85546875" style="205" customWidth="1"/>
    <col min="15370" max="15370" width="10.85546875" style="205" customWidth="1"/>
    <col min="15371" max="15371" width="9.140625" style="205"/>
    <col min="15372" max="15372" width="55.42578125" style="205" customWidth="1"/>
    <col min="15373" max="15616" width="9.140625" style="205"/>
    <col min="15617" max="15617" width="7.140625" style="205" customWidth="1"/>
    <col min="15618" max="15618" width="9.85546875" style="205" customWidth="1"/>
    <col min="15619" max="15619" width="12.85546875" style="205" bestFit="1" customWidth="1"/>
    <col min="15620" max="15620" width="13.7109375" style="205" customWidth="1"/>
    <col min="15621" max="15621" width="12.85546875" style="205" customWidth="1"/>
    <col min="15622" max="15622" width="16.5703125" style="205" customWidth="1"/>
    <col min="15623" max="15623" width="13.7109375" style="205" customWidth="1"/>
    <col min="15624" max="15624" width="16.28515625" style="205" bestFit="1" customWidth="1"/>
    <col min="15625" max="15625" width="12.85546875" style="205" customWidth="1"/>
    <col min="15626" max="15626" width="10.85546875" style="205" customWidth="1"/>
    <col min="15627" max="15627" width="9.140625" style="205"/>
    <col min="15628" max="15628" width="55.42578125" style="205" customWidth="1"/>
    <col min="15629" max="15872" width="9.140625" style="205"/>
    <col min="15873" max="15873" width="7.140625" style="205" customWidth="1"/>
    <col min="15874" max="15874" width="9.85546875" style="205" customWidth="1"/>
    <col min="15875" max="15875" width="12.85546875" style="205" bestFit="1" customWidth="1"/>
    <col min="15876" max="15876" width="13.7109375" style="205" customWidth="1"/>
    <col min="15877" max="15877" width="12.85546875" style="205" customWidth="1"/>
    <col min="15878" max="15878" width="16.5703125" style="205" customWidth="1"/>
    <col min="15879" max="15879" width="13.7109375" style="205" customWidth="1"/>
    <col min="15880" max="15880" width="16.28515625" style="205" bestFit="1" customWidth="1"/>
    <col min="15881" max="15881" width="12.85546875" style="205" customWidth="1"/>
    <col min="15882" max="15882" width="10.85546875" style="205" customWidth="1"/>
    <col min="15883" max="15883" width="9.140625" style="205"/>
    <col min="15884" max="15884" width="55.42578125" style="205" customWidth="1"/>
    <col min="15885" max="16128" width="9.140625" style="205"/>
    <col min="16129" max="16129" width="7.140625" style="205" customWidth="1"/>
    <col min="16130" max="16130" width="9.85546875" style="205" customWidth="1"/>
    <col min="16131" max="16131" width="12.85546875" style="205" bestFit="1" customWidth="1"/>
    <col min="16132" max="16132" width="13.7109375" style="205" customWidth="1"/>
    <col min="16133" max="16133" width="12.85546875" style="205" customWidth="1"/>
    <col min="16134" max="16134" width="16.5703125" style="205" customWidth="1"/>
    <col min="16135" max="16135" width="13.7109375" style="205" customWidth="1"/>
    <col min="16136" max="16136" width="16.28515625" style="205" bestFit="1" customWidth="1"/>
    <col min="16137" max="16137" width="12.85546875" style="205" customWidth="1"/>
    <col min="16138" max="16138" width="10.85546875" style="205" customWidth="1"/>
    <col min="16139" max="16139" width="9.140625" style="205"/>
    <col min="16140" max="16140" width="55.42578125" style="205" customWidth="1"/>
    <col min="16141" max="16384" width="9.140625" style="205"/>
  </cols>
  <sheetData>
    <row r="1" spans="1:12" ht="13.5" thickBot="1"/>
    <row r="2" spans="1:12" ht="21" thickBot="1">
      <c r="A2" s="206"/>
      <c r="B2" s="207"/>
      <c r="D2" s="208"/>
      <c r="E2" s="208"/>
      <c r="F2" s="208"/>
      <c r="G2" s="208"/>
      <c r="H2" s="208"/>
      <c r="I2" s="209"/>
      <c r="J2" s="210"/>
      <c r="K2" s="211" t="s">
        <v>257</v>
      </c>
      <c r="L2" s="212">
        <f>'Cheque Print'!H4</f>
        <v>1000</v>
      </c>
    </row>
    <row r="3" spans="1:12" ht="56.25" customHeight="1" thickBot="1">
      <c r="D3" s="213"/>
      <c r="E3" s="213"/>
      <c r="F3" s="213"/>
      <c r="G3" s="213"/>
      <c r="H3" s="213"/>
      <c r="I3" s="213"/>
      <c r="J3" s="208"/>
      <c r="L3" s="214" t="str">
        <f>PROPER(IF(L2=1,(CONCATENATE("",$I$15,$I$16,$J$16,$I$17,$J$17,$I$18,$J$18,$I$19,$J$19,$I$20,$J$20,$I$21,$I$22,J24,I23,I24,"ONLY ")),(CONCATENATE(" ",$I$15,$I$16,$J$16,$I$17,$J$17,$I$18,$J$18,$I$19,$J$19,$I$20,$J$20,$I$21,$I$22,J24,I23,I24,"ONLY******* "))))</f>
        <v xml:space="preserve"> One Thousand Only******* </v>
      </c>
    </row>
    <row r="4" spans="1:12" ht="20.25">
      <c r="A4" s="402" t="s">
        <v>258</v>
      </c>
      <c r="B4" s="403"/>
      <c r="C4" s="403"/>
      <c r="D4" s="403"/>
      <c r="E4" s="403"/>
      <c r="F4" s="403"/>
      <c r="G4" s="403"/>
      <c r="H4" s="403"/>
      <c r="I4" s="403"/>
      <c r="J4" s="403"/>
      <c r="K4" s="404"/>
      <c r="L4" s="215"/>
    </row>
    <row r="5" spans="1:12">
      <c r="A5" s="216">
        <v>1</v>
      </c>
      <c r="B5" s="217">
        <v>2</v>
      </c>
      <c r="C5" s="217">
        <v>3</v>
      </c>
      <c r="D5" s="217">
        <v>4</v>
      </c>
      <c r="E5" s="217">
        <v>5</v>
      </c>
      <c r="F5" s="217">
        <v>6</v>
      </c>
      <c r="G5" s="217">
        <v>7</v>
      </c>
      <c r="H5" s="217">
        <v>8</v>
      </c>
      <c r="I5" s="217">
        <v>9</v>
      </c>
      <c r="J5" s="217">
        <v>10</v>
      </c>
      <c r="K5" s="218"/>
    </row>
    <row r="6" spans="1:12" s="222" customFormat="1" ht="9">
      <c r="A6" s="219" t="s">
        <v>259</v>
      </c>
      <c r="B6" s="220" t="s">
        <v>260</v>
      </c>
      <c r="C6" s="220" t="s">
        <v>261</v>
      </c>
      <c r="D6" s="220" t="s">
        <v>262</v>
      </c>
      <c r="E6" s="220" t="s">
        <v>263</v>
      </c>
      <c r="F6" s="220" t="s">
        <v>264</v>
      </c>
      <c r="G6" s="220" t="s">
        <v>265</v>
      </c>
      <c r="H6" s="220" t="s">
        <v>266</v>
      </c>
      <c r="I6" s="220" t="s">
        <v>267</v>
      </c>
      <c r="J6" s="220" t="s">
        <v>268</v>
      </c>
      <c r="K6" s="221"/>
    </row>
    <row r="7" spans="1:12">
      <c r="A7" s="216">
        <v>10</v>
      </c>
      <c r="B7" s="217">
        <v>11</v>
      </c>
      <c r="C7" s="217">
        <v>12</v>
      </c>
      <c r="D7" s="217">
        <v>13</v>
      </c>
      <c r="E7" s="217">
        <v>14</v>
      </c>
      <c r="F7" s="217">
        <v>15</v>
      </c>
      <c r="G7" s="217">
        <v>16</v>
      </c>
      <c r="H7" s="217">
        <v>17</v>
      </c>
      <c r="I7" s="217">
        <v>18</v>
      </c>
      <c r="J7" s="217">
        <v>19</v>
      </c>
      <c r="K7" s="218"/>
    </row>
    <row r="8" spans="1:12" s="222" customFormat="1" ht="9">
      <c r="A8" s="219" t="s">
        <v>268</v>
      </c>
      <c r="B8" s="220" t="s">
        <v>269</v>
      </c>
      <c r="C8" s="220" t="s">
        <v>270</v>
      </c>
      <c r="D8" s="220" t="s">
        <v>271</v>
      </c>
      <c r="E8" s="220" t="s">
        <v>272</v>
      </c>
      <c r="F8" s="220" t="s">
        <v>273</v>
      </c>
      <c r="G8" s="220" t="s">
        <v>274</v>
      </c>
      <c r="H8" s="220" t="s">
        <v>275</v>
      </c>
      <c r="I8" s="220" t="s">
        <v>276</v>
      </c>
      <c r="J8" s="220" t="s">
        <v>277</v>
      </c>
      <c r="K8" s="221"/>
    </row>
    <row r="9" spans="1:12" ht="12.75" customHeight="1">
      <c r="A9" s="216">
        <v>1</v>
      </c>
      <c r="B9" s="217">
        <v>2</v>
      </c>
      <c r="C9" s="217">
        <v>3</v>
      </c>
      <c r="D9" s="217">
        <v>4</v>
      </c>
      <c r="E9" s="217">
        <v>5</v>
      </c>
      <c r="F9" s="217">
        <v>6</v>
      </c>
      <c r="G9" s="217">
        <v>7</v>
      </c>
      <c r="H9" s="217">
        <v>8</v>
      </c>
      <c r="I9" s="217">
        <v>9</v>
      </c>
      <c r="J9" s="217">
        <v>10</v>
      </c>
      <c r="K9" s="218"/>
    </row>
    <row r="10" spans="1:12" s="222" customFormat="1" ht="9" customHeight="1">
      <c r="A10" s="219" t="s">
        <v>268</v>
      </c>
      <c r="B10" s="220" t="s">
        <v>278</v>
      </c>
      <c r="C10" s="220" t="s">
        <v>279</v>
      </c>
      <c r="D10" s="220" t="s">
        <v>280</v>
      </c>
      <c r="E10" s="220" t="s">
        <v>281</v>
      </c>
      <c r="F10" s="220" t="s">
        <v>282</v>
      </c>
      <c r="G10" s="220" t="s">
        <v>283</v>
      </c>
      <c r="H10" s="220" t="s">
        <v>284</v>
      </c>
      <c r="I10" s="220" t="s">
        <v>285</v>
      </c>
      <c r="J10" s="220" t="s">
        <v>286</v>
      </c>
      <c r="K10" s="221"/>
    </row>
    <row r="11" spans="1:12" ht="12.75" customHeight="1">
      <c r="A11" s="216"/>
      <c r="B11" s="217"/>
      <c r="C11" s="217"/>
      <c r="D11" s="217"/>
      <c r="E11" s="217"/>
      <c r="F11" s="217"/>
      <c r="G11" s="217"/>
      <c r="H11" s="217"/>
      <c r="I11" s="217"/>
      <c r="J11" s="217"/>
      <c r="K11" s="218"/>
    </row>
    <row r="12" spans="1:12" s="222" customFormat="1" ht="9" customHeight="1">
      <c r="A12" s="219"/>
      <c r="B12" s="220" t="s">
        <v>286</v>
      </c>
      <c r="C12" s="220" t="s">
        <v>287</v>
      </c>
      <c r="D12" s="220" t="s">
        <v>288</v>
      </c>
      <c r="E12" s="220" t="s">
        <v>289</v>
      </c>
      <c r="F12" s="220"/>
      <c r="G12" s="220"/>
      <c r="H12" s="220"/>
      <c r="I12" s="220"/>
      <c r="J12" s="220"/>
      <c r="K12" s="221"/>
    </row>
    <row r="13" spans="1:12" ht="3" customHeight="1">
      <c r="A13" s="216"/>
      <c r="B13" s="217"/>
      <c r="C13" s="217"/>
      <c r="D13" s="217"/>
      <c r="E13" s="217"/>
      <c r="F13" s="217"/>
      <c r="G13" s="217"/>
      <c r="H13" s="217"/>
      <c r="I13" s="217"/>
      <c r="J13" s="217"/>
      <c r="K13" s="218"/>
    </row>
    <row r="14" spans="1:12">
      <c r="A14" s="216"/>
      <c r="B14" s="217"/>
      <c r="C14" s="217"/>
      <c r="D14" s="223" t="s">
        <v>290</v>
      </c>
      <c r="E14" s="224" t="s">
        <v>291</v>
      </c>
      <c r="F14" s="225"/>
      <c r="G14" s="226" t="str">
        <f t="shared" ref="G14:H24" si="0">D14</f>
        <v>Denom.</v>
      </c>
      <c r="H14" s="226" t="str">
        <f t="shared" si="0"/>
        <v># of Notes</v>
      </c>
      <c r="I14" s="227"/>
      <c r="J14" s="217"/>
      <c r="K14" s="218"/>
    </row>
    <row r="15" spans="1:12">
      <c r="A15" s="216"/>
      <c r="B15" s="217"/>
      <c r="C15" s="217"/>
      <c r="D15" s="228">
        <f>hbl!F33</f>
        <v>10000000</v>
      </c>
      <c r="E15" s="229">
        <f>ROUND(hbl!H33,0)</f>
        <v>0</v>
      </c>
      <c r="F15" s="225" t="str">
        <f>IF(E15=0,"",(LOOKUP(E15,$A$9:$J$9,$A$10:$J$10)))</f>
        <v/>
      </c>
      <c r="G15" s="230">
        <f t="shared" si="0"/>
        <v>10000000</v>
      </c>
      <c r="H15" s="227">
        <f t="shared" si="0"/>
        <v>0</v>
      </c>
      <c r="I15" s="227" t="str">
        <f>IF(H15=0,"",(IF(H15=1,(LOOKUP(H16+10,$A$7:$J$7,$A$8:$J$8)),(LOOKUP(H15,$B$9:$I$9,$B$10:$I$10)))))</f>
        <v/>
      </c>
      <c r="J15" s="217"/>
      <c r="K15" s="218"/>
    </row>
    <row r="16" spans="1:12">
      <c r="A16" s="216"/>
      <c r="B16" s="217"/>
      <c r="C16" s="217"/>
      <c r="D16" s="228">
        <f>hbl!F34</f>
        <v>1000000</v>
      </c>
      <c r="E16" s="231">
        <f>ROUND(hbl!H34,0)</f>
        <v>0</v>
      </c>
      <c r="F16" s="225" t="str">
        <f>IF(E16=0,"",(LOOKUP(E16,$A$5:$J$5,$A$6:$J$6)))</f>
        <v/>
      </c>
      <c r="G16" s="230">
        <f t="shared" si="0"/>
        <v>1000000</v>
      </c>
      <c r="H16" s="227">
        <f t="shared" si="0"/>
        <v>0</v>
      </c>
      <c r="I16" s="227" t="str">
        <f>IF(H15=1,"",F16)</f>
        <v/>
      </c>
      <c r="J16" s="217" t="str">
        <f>IF(H16+H15&gt;=1,D12,"")</f>
        <v/>
      </c>
      <c r="K16" s="218"/>
    </row>
    <row r="17" spans="1:11">
      <c r="A17" s="216"/>
      <c r="B17" s="217"/>
      <c r="C17" s="217"/>
      <c r="D17" s="228">
        <f>hbl!F35</f>
        <v>100000</v>
      </c>
      <c r="E17" s="231">
        <f>ROUND(hbl!H35,0)</f>
        <v>0</v>
      </c>
      <c r="F17" s="225" t="str">
        <f>IF(E17=0,"",(LOOKUP(E17,$A$5:$J$5,$A$6:$J$6)))</f>
        <v/>
      </c>
      <c r="G17" s="230">
        <f t="shared" si="0"/>
        <v>100000</v>
      </c>
      <c r="H17" s="227">
        <f t="shared" si="0"/>
        <v>0</v>
      </c>
      <c r="I17" s="227" t="str">
        <f>F17</f>
        <v/>
      </c>
      <c r="J17" s="217" t="str">
        <f>IF(H17&gt;=1,$B$12,"")</f>
        <v/>
      </c>
      <c r="K17" s="218"/>
    </row>
    <row r="18" spans="1:11">
      <c r="A18" s="216"/>
      <c r="B18" s="217"/>
      <c r="C18" s="217"/>
      <c r="D18" s="228">
        <f>hbl!F36</f>
        <v>10000</v>
      </c>
      <c r="E18" s="231">
        <f>ROUND(hbl!H36,0)</f>
        <v>0</v>
      </c>
      <c r="F18" s="225" t="str">
        <f>IF(E18=0,"",(LOOKUP(E18,$A$9:$J$9,$A$10:$J$10)))</f>
        <v/>
      </c>
      <c r="G18" s="230">
        <f t="shared" si="0"/>
        <v>10000</v>
      </c>
      <c r="H18" s="227">
        <f t="shared" si="0"/>
        <v>0</v>
      </c>
      <c r="I18" s="227" t="str">
        <f>IF(H18=0,"",(IF(H18=1,(LOOKUP(H19+10,$A$7:$J$7,$A$8:$J$8)),(LOOKUP(H18,$B$9:$I$9,$B$10:$I$10)))))</f>
        <v/>
      </c>
      <c r="J18" s="217"/>
      <c r="K18" s="218"/>
    </row>
    <row r="19" spans="1:11">
      <c r="A19" s="216"/>
      <c r="B19" s="217"/>
      <c r="C19" s="217"/>
      <c r="D19" s="228">
        <f>hbl!F37</f>
        <v>1000</v>
      </c>
      <c r="E19" s="231">
        <f>ROUND(hbl!H37,0)</f>
        <v>1</v>
      </c>
      <c r="F19" s="225" t="str">
        <f>IF(E19=0,"",(LOOKUP(E19,$A$5:$J$5,$A$6:$J$6)))</f>
        <v xml:space="preserve">ONE </v>
      </c>
      <c r="G19" s="230">
        <f t="shared" si="0"/>
        <v>1000</v>
      </c>
      <c r="H19" s="227">
        <f t="shared" si="0"/>
        <v>1</v>
      </c>
      <c r="I19" s="227" t="str">
        <f>IF(H18=1,"",F19)</f>
        <v xml:space="preserve">ONE </v>
      </c>
      <c r="J19" s="217" t="str">
        <f>IF(H19+H18+H17&gt;=1,C12,"")</f>
        <v xml:space="preserve">THOUSAND </v>
      </c>
      <c r="K19" s="218"/>
    </row>
    <row r="20" spans="1:11">
      <c r="A20" s="216"/>
      <c r="B20" s="217"/>
      <c r="C20" s="217"/>
      <c r="D20" s="228">
        <f>hbl!F38</f>
        <v>100</v>
      </c>
      <c r="E20" s="231">
        <f>ROUND(hbl!H38,0)</f>
        <v>0</v>
      </c>
      <c r="F20" s="225" t="str">
        <f>IF(E20=0,"",(LOOKUP(E20,$A$5:$K$5,$A$6:$K$6)))</f>
        <v/>
      </c>
      <c r="G20" s="230">
        <f t="shared" si="0"/>
        <v>100</v>
      </c>
      <c r="H20" s="227">
        <f t="shared" si="0"/>
        <v>0</v>
      </c>
      <c r="I20" s="227" t="str">
        <f>F20</f>
        <v/>
      </c>
      <c r="J20" s="217" t="str">
        <f>IF(H20&gt;=1,$B$12,"")</f>
        <v/>
      </c>
      <c r="K20" s="218"/>
    </row>
    <row r="21" spans="1:11">
      <c r="A21" s="216"/>
      <c r="B21" s="217"/>
      <c r="C21" s="217"/>
      <c r="D21" s="228">
        <f>hbl!F39</f>
        <v>10</v>
      </c>
      <c r="E21" s="231">
        <f>ROUND(hbl!H39,0)</f>
        <v>0</v>
      </c>
      <c r="F21" s="225" t="str">
        <f>IF(E21=0,"",(LOOKUP(E21,$A$5:$K$5,$A$6:$K$6)))</f>
        <v/>
      </c>
      <c r="G21" s="230">
        <f t="shared" si="0"/>
        <v>10</v>
      </c>
      <c r="H21" s="227">
        <f t="shared" si="0"/>
        <v>0</v>
      </c>
      <c r="I21" s="227" t="str">
        <f>IF(H21=0,"",(IF(H21=1,(LOOKUP(H22+10,$A$7:$J$7,$A$8:$J$8)),(LOOKUP(H21,$B$9:$J$9,$B$10:$J$10)))))</f>
        <v/>
      </c>
      <c r="J21" s="217"/>
      <c r="K21" s="218"/>
    </row>
    <row r="22" spans="1:11">
      <c r="A22" s="216"/>
      <c r="B22" s="217"/>
      <c r="C22" s="217"/>
      <c r="D22" s="228">
        <f>hbl!F40</f>
        <v>1</v>
      </c>
      <c r="E22" s="231">
        <f>ROUND(hbl!H40,0)</f>
        <v>0</v>
      </c>
      <c r="F22" s="225" t="str">
        <f>IF(E22=0,"",(LOOKUP(E22,$A$5:$K$5,$A$6:$K$6)))</f>
        <v/>
      </c>
      <c r="G22" s="230">
        <f t="shared" si="0"/>
        <v>1</v>
      </c>
      <c r="H22" s="227">
        <f t="shared" si="0"/>
        <v>0</v>
      </c>
      <c r="I22" s="227" t="str">
        <f>IF(E21&gt;1,F22,(IF(E21&lt;1,F22,"")))</f>
        <v/>
      </c>
      <c r="J22" s="217"/>
      <c r="K22" s="218"/>
    </row>
    <row r="23" spans="1:11">
      <c r="A23" s="216"/>
      <c r="B23" s="217"/>
      <c r="C23" s="217"/>
      <c r="D23" s="232">
        <f>hbl!F41</f>
        <v>0.1</v>
      </c>
      <c r="E23" s="231">
        <f>ROUND(hbl!H41,0)</f>
        <v>0</v>
      </c>
      <c r="F23" s="225"/>
      <c r="G23" s="233">
        <f t="shared" si="0"/>
        <v>0.1</v>
      </c>
      <c r="H23" s="227">
        <f t="shared" si="0"/>
        <v>0</v>
      </c>
      <c r="I23" s="227"/>
      <c r="J23" s="217"/>
      <c r="K23" s="218"/>
    </row>
    <row r="24" spans="1:11">
      <c r="A24" s="216"/>
      <c r="B24" s="217"/>
      <c r="C24" s="217"/>
      <c r="D24" s="232">
        <f>hbl!F42</f>
        <v>0.01</v>
      </c>
      <c r="E24" s="231">
        <f>ROUND(hbl!H42,0)</f>
        <v>0</v>
      </c>
      <c r="F24" s="225"/>
      <c r="G24" s="233">
        <f t="shared" si="0"/>
        <v>0.01</v>
      </c>
      <c r="H24" s="234">
        <f t="shared" si="0"/>
        <v>0</v>
      </c>
      <c r="I24" s="227"/>
      <c r="J24" s="217"/>
      <c r="K24" s="218"/>
    </row>
    <row r="25" spans="1:11">
      <c r="A25" s="216"/>
      <c r="B25" s="217"/>
      <c r="C25" s="217"/>
      <c r="D25" s="217"/>
      <c r="E25" s="217"/>
      <c r="F25" s="217"/>
      <c r="G25" s="217"/>
      <c r="H25" s="217"/>
      <c r="I25" s="217"/>
      <c r="J25" s="217"/>
      <c r="K25" s="218"/>
    </row>
    <row r="26" spans="1:11">
      <c r="A26" s="216"/>
      <c r="B26" s="217"/>
      <c r="C26" s="217"/>
      <c r="D26" s="217"/>
      <c r="E26" s="217"/>
      <c r="F26" s="217"/>
      <c r="G26" s="217"/>
      <c r="H26" s="217"/>
      <c r="I26" s="217"/>
      <c r="J26" s="217"/>
      <c r="K26" s="218"/>
    </row>
    <row r="27" spans="1:11">
      <c r="A27" s="216"/>
      <c r="B27" s="217"/>
      <c r="C27" s="217"/>
      <c r="D27" s="217"/>
      <c r="E27" s="217"/>
      <c r="F27" s="217"/>
      <c r="G27" s="217"/>
      <c r="H27" s="217"/>
      <c r="I27" s="217"/>
      <c r="J27" s="217"/>
      <c r="K27" s="218"/>
    </row>
    <row r="28" spans="1:11">
      <c r="A28" s="216"/>
      <c r="B28" s="217"/>
      <c r="C28" s="217"/>
      <c r="D28" s="217"/>
      <c r="E28" s="217"/>
      <c r="F28" s="217"/>
      <c r="G28" s="217"/>
      <c r="H28" s="217"/>
      <c r="I28" s="217"/>
      <c r="J28" s="217"/>
      <c r="K28" s="218"/>
    </row>
    <row r="29" spans="1:11">
      <c r="A29" s="216"/>
      <c r="B29" s="217"/>
      <c r="C29" s="217"/>
      <c r="D29" s="217"/>
      <c r="E29" s="217"/>
      <c r="F29" s="217"/>
      <c r="G29" s="217"/>
      <c r="H29" s="217"/>
      <c r="I29" s="217"/>
      <c r="J29" s="217"/>
      <c r="K29" s="218"/>
    </row>
    <row r="30" spans="1:11">
      <c r="A30" s="216"/>
      <c r="B30" s="217"/>
      <c r="C30" s="217"/>
      <c r="D30" s="217"/>
      <c r="E30" s="217"/>
      <c r="F30" s="217"/>
      <c r="G30" s="217"/>
      <c r="H30" s="217"/>
      <c r="I30" s="217"/>
      <c r="J30" s="217"/>
      <c r="K30" s="218"/>
    </row>
    <row r="31" spans="1:11">
      <c r="A31" s="216"/>
      <c r="B31" s="217"/>
      <c r="C31" s="217"/>
      <c r="D31" s="217"/>
      <c r="E31" s="235" t="s">
        <v>226</v>
      </c>
      <c r="F31" s="217"/>
      <c r="G31" s="236" t="s">
        <v>292</v>
      </c>
      <c r="H31" s="236" t="s">
        <v>293</v>
      </c>
      <c r="I31" s="236" t="s">
        <v>294</v>
      </c>
      <c r="J31" s="217"/>
      <c r="K31" s="218"/>
    </row>
    <row r="32" spans="1:11">
      <c r="A32" s="216"/>
      <c r="B32" s="217"/>
      <c r="C32" s="217"/>
      <c r="D32" s="217"/>
      <c r="E32" s="217"/>
      <c r="F32" s="237"/>
      <c r="G32" s="217"/>
      <c r="H32" s="237"/>
      <c r="I32" s="237"/>
      <c r="J32" s="217"/>
      <c r="K32" s="218"/>
    </row>
    <row r="33" spans="1:11">
      <c r="A33" s="216"/>
      <c r="B33" s="217"/>
      <c r="C33" s="237">
        <f>hbl!$L$2</f>
        <v>1000</v>
      </c>
      <c r="D33" s="217"/>
      <c r="E33" s="237">
        <f>ROUND(C33,2)</f>
        <v>1000</v>
      </c>
      <c r="F33" s="238">
        <v>10000000</v>
      </c>
      <c r="G33" s="237">
        <f t="shared" ref="G33:G41" si="1">IF(C33&gt;=F33,(MOD(C33,F33)),E33)</f>
        <v>1000</v>
      </c>
      <c r="H33" s="239">
        <f t="shared" ref="H33:H42" si="2">I33/F33</f>
        <v>0</v>
      </c>
      <c r="I33" s="237">
        <f t="shared" ref="I33:I42" si="3">E33-G33</f>
        <v>0</v>
      </c>
      <c r="J33" s="217"/>
      <c r="K33" s="218"/>
    </row>
    <row r="34" spans="1:11">
      <c r="A34" s="216"/>
      <c r="B34" s="217"/>
      <c r="C34" s="237">
        <f t="shared" ref="C34:C41" si="4">E33</f>
        <v>1000</v>
      </c>
      <c r="D34" s="217"/>
      <c r="E34" s="237">
        <f t="shared" ref="E34:E42" si="5">ROUND(G33,2)</f>
        <v>1000</v>
      </c>
      <c r="F34" s="238">
        <v>1000000</v>
      </c>
      <c r="G34" s="237">
        <f t="shared" si="1"/>
        <v>1000</v>
      </c>
      <c r="H34" s="237">
        <f t="shared" si="2"/>
        <v>0</v>
      </c>
      <c r="I34" s="237">
        <f t="shared" si="3"/>
        <v>0</v>
      </c>
      <c r="J34" s="217"/>
      <c r="K34" s="218"/>
    </row>
    <row r="35" spans="1:11">
      <c r="A35" s="216"/>
      <c r="B35" s="217"/>
      <c r="C35" s="237">
        <f t="shared" si="4"/>
        <v>1000</v>
      </c>
      <c r="D35" s="217"/>
      <c r="E35" s="237">
        <f t="shared" si="5"/>
        <v>1000</v>
      </c>
      <c r="F35" s="238">
        <v>100000</v>
      </c>
      <c r="G35" s="237">
        <f t="shared" si="1"/>
        <v>1000</v>
      </c>
      <c r="H35" s="237">
        <f t="shared" si="2"/>
        <v>0</v>
      </c>
      <c r="I35" s="237">
        <f t="shared" si="3"/>
        <v>0</v>
      </c>
      <c r="J35" s="217"/>
      <c r="K35" s="218"/>
    </row>
    <row r="36" spans="1:11">
      <c r="A36" s="216"/>
      <c r="B36" s="217"/>
      <c r="C36" s="237">
        <f t="shared" si="4"/>
        <v>1000</v>
      </c>
      <c r="D36" s="217"/>
      <c r="E36" s="237">
        <f t="shared" si="5"/>
        <v>1000</v>
      </c>
      <c r="F36" s="238">
        <v>10000</v>
      </c>
      <c r="G36" s="237">
        <f t="shared" si="1"/>
        <v>1000</v>
      </c>
      <c r="H36" s="237">
        <f t="shared" si="2"/>
        <v>0</v>
      </c>
      <c r="I36" s="237">
        <f t="shared" si="3"/>
        <v>0</v>
      </c>
      <c r="J36" s="217"/>
      <c r="K36" s="218"/>
    </row>
    <row r="37" spans="1:11">
      <c r="A37" s="216"/>
      <c r="B37" s="217"/>
      <c r="C37" s="237">
        <f t="shared" si="4"/>
        <v>1000</v>
      </c>
      <c r="D37" s="217"/>
      <c r="E37" s="237">
        <f t="shared" si="5"/>
        <v>1000</v>
      </c>
      <c r="F37" s="238">
        <v>1000</v>
      </c>
      <c r="G37" s="237">
        <f t="shared" si="1"/>
        <v>0</v>
      </c>
      <c r="H37" s="237">
        <f t="shared" si="2"/>
        <v>1</v>
      </c>
      <c r="I37" s="237">
        <f t="shared" si="3"/>
        <v>1000</v>
      </c>
      <c r="J37" s="217"/>
      <c r="K37" s="218"/>
    </row>
    <row r="38" spans="1:11">
      <c r="A38" s="216"/>
      <c r="B38" s="217"/>
      <c r="C38" s="237">
        <f t="shared" si="4"/>
        <v>1000</v>
      </c>
      <c r="D38" s="217"/>
      <c r="E38" s="237">
        <f t="shared" si="5"/>
        <v>0</v>
      </c>
      <c r="F38" s="238">
        <v>100</v>
      </c>
      <c r="G38" s="237">
        <f t="shared" si="1"/>
        <v>0</v>
      </c>
      <c r="H38" s="237">
        <f t="shared" si="2"/>
        <v>0</v>
      </c>
      <c r="I38" s="237">
        <f t="shared" si="3"/>
        <v>0</v>
      </c>
      <c r="J38" s="217"/>
      <c r="K38" s="218"/>
    </row>
    <row r="39" spans="1:11">
      <c r="A39" s="216"/>
      <c r="B39" s="217"/>
      <c r="C39" s="237">
        <f t="shared" si="4"/>
        <v>0</v>
      </c>
      <c r="D39" s="217"/>
      <c r="E39" s="237">
        <f t="shared" si="5"/>
        <v>0</v>
      </c>
      <c r="F39" s="238">
        <v>10</v>
      </c>
      <c r="G39" s="237">
        <f t="shared" si="1"/>
        <v>0</v>
      </c>
      <c r="H39" s="237">
        <f t="shared" si="2"/>
        <v>0</v>
      </c>
      <c r="I39" s="237">
        <f t="shared" si="3"/>
        <v>0</v>
      </c>
      <c r="J39" s="217"/>
      <c r="K39" s="218"/>
    </row>
    <row r="40" spans="1:11">
      <c r="A40" s="216"/>
      <c r="B40" s="217"/>
      <c r="C40" s="237">
        <f t="shared" si="4"/>
        <v>0</v>
      </c>
      <c r="D40" s="217"/>
      <c r="E40" s="237">
        <f t="shared" si="5"/>
        <v>0</v>
      </c>
      <c r="F40" s="238">
        <v>1</v>
      </c>
      <c r="G40" s="237">
        <f t="shared" si="1"/>
        <v>0</v>
      </c>
      <c r="H40" s="237">
        <f t="shared" si="2"/>
        <v>0</v>
      </c>
      <c r="I40" s="237">
        <f t="shared" si="3"/>
        <v>0</v>
      </c>
      <c r="J40" s="217"/>
      <c r="K40" s="218"/>
    </row>
    <row r="41" spans="1:11">
      <c r="A41" s="216"/>
      <c r="B41" s="217"/>
      <c r="C41" s="237">
        <f t="shared" si="4"/>
        <v>0</v>
      </c>
      <c r="D41" s="217"/>
      <c r="E41" s="237">
        <f t="shared" si="5"/>
        <v>0</v>
      </c>
      <c r="F41" s="217">
        <v>0.1</v>
      </c>
      <c r="G41" s="237">
        <f t="shared" si="1"/>
        <v>0</v>
      </c>
      <c r="H41" s="237">
        <f t="shared" si="2"/>
        <v>0</v>
      </c>
      <c r="I41" s="237">
        <f t="shared" si="3"/>
        <v>0</v>
      </c>
      <c r="J41" s="217"/>
      <c r="K41" s="218"/>
    </row>
    <row r="42" spans="1:11">
      <c r="A42" s="216"/>
      <c r="B42" s="217"/>
      <c r="C42" s="237">
        <v>0.05</v>
      </c>
      <c r="D42" s="217"/>
      <c r="E42" s="237">
        <f t="shared" si="5"/>
        <v>0</v>
      </c>
      <c r="F42" s="217">
        <v>0.01</v>
      </c>
      <c r="G42" s="237">
        <f>IF(C42&gt;F42,(MOD(C42,F42)),E42)</f>
        <v>1.7347234759768071E-18</v>
      </c>
      <c r="H42" s="237">
        <f t="shared" si="2"/>
        <v>-1.7347234759768071E-16</v>
      </c>
      <c r="I42" s="237">
        <f t="shared" si="3"/>
        <v>-1.7347234759768071E-18</v>
      </c>
      <c r="J42" s="217"/>
      <c r="K42" s="218"/>
    </row>
    <row r="43" spans="1:11">
      <c r="A43" s="240"/>
      <c r="B43" s="241"/>
      <c r="C43" s="241"/>
      <c r="D43" s="241"/>
      <c r="E43" s="242"/>
      <c r="F43" s="241"/>
      <c r="G43" s="241"/>
      <c r="H43" s="241"/>
      <c r="I43" s="241"/>
      <c r="J43" s="241"/>
      <c r="K43" s="243"/>
    </row>
    <row r="44" spans="1:11">
      <c r="E44" s="244"/>
    </row>
  </sheetData>
  <mergeCells count="1">
    <mergeCell ref="A4:K4"/>
  </mergeCells>
  <pageMargins left="0.75" right="0.75" top="1" bottom="1" header="0.5" footer="0.5"/>
  <pageSetup orientation="portrait" horizontalDpi="30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1"/>
  <sheetViews>
    <sheetView showGridLines="0" workbookViewId="0">
      <selection activeCell="G54" sqref="G54"/>
    </sheetView>
  </sheetViews>
  <sheetFormatPr defaultColWidth="9.140625" defaultRowHeight="13.5"/>
  <cols>
    <col min="1" max="1" width="5.42578125" style="1" customWidth="1"/>
    <col min="2" max="2" width="10" style="1" customWidth="1"/>
    <col min="3" max="3" width="10.140625" style="1" customWidth="1"/>
    <col min="4" max="4" width="11.28515625" style="1" customWidth="1"/>
    <col min="5" max="5" width="10.42578125" style="1" customWidth="1"/>
    <col min="6" max="6" width="11" style="1" customWidth="1"/>
    <col min="7" max="7" width="9.28515625" style="1" customWidth="1"/>
    <col min="8" max="8" width="9.42578125" style="1" customWidth="1"/>
    <col min="9" max="9" width="11.42578125" style="1" customWidth="1"/>
    <col min="10" max="10" width="9.42578125" style="1" customWidth="1"/>
    <col min="11" max="16384" width="9.140625" style="1"/>
  </cols>
  <sheetData>
    <row r="1" spans="1:9" ht="15.75" customHeight="1">
      <c r="A1" s="405" t="s">
        <v>28</v>
      </c>
      <c r="B1" s="406"/>
      <c r="C1" s="407"/>
      <c r="D1" s="408"/>
      <c r="E1" s="408"/>
      <c r="F1" s="409"/>
      <c r="G1"/>
      <c r="H1"/>
      <c r="I1"/>
    </row>
    <row r="2" spans="1:9" ht="15.75">
      <c r="A2" s="405" t="s">
        <v>29</v>
      </c>
      <c r="B2" s="406"/>
      <c r="C2" s="407" t="s">
        <v>30</v>
      </c>
      <c r="D2" s="408"/>
      <c r="E2" s="408"/>
      <c r="F2" s="409"/>
      <c r="G2"/>
      <c r="H2"/>
      <c r="I2"/>
    </row>
    <row r="4" spans="1:9">
      <c r="A4" s="2" t="s">
        <v>31</v>
      </c>
      <c r="B4" s="3" t="s">
        <v>20</v>
      </c>
      <c r="C4" s="4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82" t="s">
        <v>32</v>
      </c>
    </row>
    <row r="5" spans="1:9">
      <c r="A5" s="5">
        <v>1</v>
      </c>
      <c r="B5" s="6">
        <v>0</v>
      </c>
      <c r="C5" s="7">
        <v>600000</v>
      </c>
      <c r="D5" s="8" t="b">
        <f>AND($I$20&gt;=B5,$I$20&lt;=C5)</f>
        <v>0</v>
      </c>
      <c r="E5" s="56">
        <f>IF(D5,$I$20-B5+1,0)</f>
        <v>0</v>
      </c>
      <c r="F5" s="57">
        <v>0</v>
      </c>
      <c r="G5" s="56">
        <f>IF(D5,E5*F5,0)</f>
        <v>0</v>
      </c>
      <c r="H5" s="58">
        <v>0</v>
      </c>
      <c r="I5" s="56">
        <f>IF(D5,G5+H5,0)</f>
        <v>0</v>
      </c>
    </row>
    <row r="6" spans="1:9">
      <c r="A6" s="9">
        <v>2</v>
      </c>
      <c r="B6" s="10">
        <f>C5+1</f>
        <v>600001</v>
      </c>
      <c r="C6" s="11">
        <v>1200000</v>
      </c>
      <c r="D6" s="12" t="b">
        <f t="shared" ref="D6:D16" si="0">AND($I$20&gt;=B6,$I$20&lt;=C6)</f>
        <v>1</v>
      </c>
      <c r="E6" s="59">
        <f t="shared" ref="E6:E16" si="1">IF(D6,$I$20-B6+1,0)</f>
        <v>518842</v>
      </c>
      <c r="F6" s="60">
        <v>0.05</v>
      </c>
      <c r="G6" s="59">
        <f t="shared" ref="G6:G16" si="2">IF(D6,E6*F6,0)</f>
        <v>25942.100000000002</v>
      </c>
      <c r="H6" s="10">
        <v>0</v>
      </c>
      <c r="I6" s="59">
        <f t="shared" ref="I6:I16" si="3">IF(D6,G6+H6,0)</f>
        <v>25942.100000000002</v>
      </c>
    </row>
    <row r="7" spans="1:9">
      <c r="A7" s="9">
        <v>3</v>
      </c>
      <c r="B7" s="10">
        <f t="shared" ref="B7:B16" si="4">C6+1</f>
        <v>1200001</v>
      </c>
      <c r="C7" s="11">
        <v>1800000</v>
      </c>
      <c r="D7" s="12" t="b">
        <f t="shared" si="0"/>
        <v>0</v>
      </c>
      <c r="E7" s="59">
        <f t="shared" si="1"/>
        <v>0</v>
      </c>
      <c r="F7" s="60">
        <v>0.1</v>
      </c>
      <c r="G7" s="59">
        <f t="shared" si="2"/>
        <v>0</v>
      </c>
      <c r="H7" s="10">
        <v>30000</v>
      </c>
      <c r="I7" s="59">
        <f t="shared" si="3"/>
        <v>0</v>
      </c>
    </row>
    <row r="8" spans="1:9">
      <c r="A8" s="9">
        <v>4</v>
      </c>
      <c r="B8" s="10">
        <f t="shared" si="4"/>
        <v>1800001</v>
      </c>
      <c r="C8" s="11">
        <v>2500000</v>
      </c>
      <c r="D8" s="12" t="b">
        <f t="shared" si="0"/>
        <v>0</v>
      </c>
      <c r="E8" s="59">
        <f t="shared" si="1"/>
        <v>0</v>
      </c>
      <c r="F8" s="60">
        <v>0.15</v>
      </c>
      <c r="G8" s="59">
        <f t="shared" si="2"/>
        <v>0</v>
      </c>
      <c r="H8" s="10">
        <v>90000</v>
      </c>
      <c r="I8" s="59">
        <f t="shared" si="3"/>
        <v>0</v>
      </c>
    </row>
    <row r="9" spans="1:9">
      <c r="A9" s="9">
        <v>5</v>
      </c>
      <c r="B9" s="10">
        <f t="shared" si="4"/>
        <v>2500001</v>
      </c>
      <c r="C9" s="11">
        <v>3500000</v>
      </c>
      <c r="D9" s="12" t="b">
        <f t="shared" si="0"/>
        <v>0</v>
      </c>
      <c r="E9" s="59">
        <f t="shared" si="1"/>
        <v>0</v>
      </c>
      <c r="F9" s="60">
        <v>0.17499999999999999</v>
      </c>
      <c r="G9" s="59">
        <f t="shared" si="2"/>
        <v>0</v>
      </c>
      <c r="H9" s="10">
        <v>195000</v>
      </c>
      <c r="I9" s="59">
        <f t="shared" si="3"/>
        <v>0</v>
      </c>
    </row>
    <row r="10" spans="1:9">
      <c r="A10" s="9">
        <v>6</v>
      </c>
      <c r="B10" s="10">
        <f t="shared" si="4"/>
        <v>3500001</v>
      </c>
      <c r="C10" s="11">
        <v>5000000</v>
      </c>
      <c r="D10" s="12" t="b">
        <f t="shared" si="0"/>
        <v>0</v>
      </c>
      <c r="E10" s="59">
        <f t="shared" si="1"/>
        <v>0</v>
      </c>
      <c r="F10" s="60">
        <v>0.2</v>
      </c>
      <c r="G10" s="59">
        <f t="shared" si="2"/>
        <v>0</v>
      </c>
      <c r="H10" s="10">
        <v>370000</v>
      </c>
      <c r="I10" s="59">
        <f t="shared" si="3"/>
        <v>0</v>
      </c>
    </row>
    <row r="11" spans="1:9">
      <c r="A11" s="9">
        <v>7</v>
      </c>
      <c r="B11" s="10">
        <f t="shared" si="4"/>
        <v>5000001</v>
      </c>
      <c r="C11" s="11">
        <v>8000000</v>
      </c>
      <c r="D11" s="12" t="b">
        <f t="shared" si="0"/>
        <v>0</v>
      </c>
      <c r="E11" s="59">
        <f t="shared" si="1"/>
        <v>0</v>
      </c>
      <c r="F11" s="60">
        <v>0.22500000000000001</v>
      </c>
      <c r="G11" s="59">
        <f t="shared" si="2"/>
        <v>0</v>
      </c>
      <c r="H11" s="10">
        <v>670000</v>
      </c>
      <c r="I11" s="59">
        <f t="shared" si="3"/>
        <v>0</v>
      </c>
    </row>
    <row r="12" spans="1:9">
      <c r="A12" s="9"/>
      <c r="B12" s="10">
        <f t="shared" si="4"/>
        <v>8000001</v>
      </c>
      <c r="C12" s="11">
        <v>12000000</v>
      </c>
      <c r="D12" s="12" t="b">
        <f t="shared" si="0"/>
        <v>0</v>
      </c>
      <c r="E12" s="59">
        <f t="shared" si="1"/>
        <v>0</v>
      </c>
      <c r="F12" s="60">
        <v>0.25</v>
      </c>
      <c r="G12" s="59">
        <f t="shared" si="2"/>
        <v>0</v>
      </c>
      <c r="H12" s="10">
        <v>1345000</v>
      </c>
      <c r="I12" s="59">
        <f t="shared" si="3"/>
        <v>0</v>
      </c>
    </row>
    <row r="13" spans="1:9">
      <c r="A13" s="9"/>
      <c r="B13" s="10">
        <f t="shared" si="4"/>
        <v>12000001</v>
      </c>
      <c r="C13" s="11">
        <v>30000000</v>
      </c>
      <c r="D13" s="12" t="b">
        <f t="shared" si="0"/>
        <v>0</v>
      </c>
      <c r="E13" s="59">
        <f t="shared" si="1"/>
        <v>0</v>
      </c>
      <c r="F13" s="60">
        <v>0.27500000000000002</v>
      </c>
      <c r="G13" s="59">
        <f t="shared" si="2"/>
        <v>0</v>
      </c>
      <c r="H13" s="10">
        <v>2345000</v>
      </c>
      <c r="I13" s="59">
        <f t="shared" si="3"/>
        <v>0</v>
      </c>
    </row>
    <row r="14" spans="1:9">
      <c r="A14" s="9"/>
      <c r="B14" s="10">
        <f t="shared" si="4"/>
        <v>30000001</v>
      </c>
      <c r="C14" s="11">
        <v>50000000</v>
      </c>
      <c r="D14" s="12" t="b">
        <f t="shared" si="0"/>
        <v>0</v>
      </c>
      <c r="E14" s="59">
        <f t="shared" si="1"/>
        <v>0</v>
      </c>
      <c r="F14" s="60">
        <v>0.3</v>
      </c>
      <c r="G14" s="59">
        <f t="shared" si="2"/>
        <v>0</v>
      </c>
      <c r="H14" s="10">
        <v>7295000</v>
      </c>
      <c r="I14" s="59">
        <f t="shared" si="3"/>
        <v>0</v>
      </c>
    </row>
    <row r="15" spans="1:9">
      <c r="A15" s="9"/>
      <c r="B15" s="10">
        <f t="shared" si="4"/>
        <v>50000001</v>
      </c>
      <c r="C15" s="11">
        <v>75000000</v>
      </c>
      <c r="D15" s="12" t="b">
        <f t="shared" si="0"/>
        <v>0</v>
      </c>
      <c r="E15" s="59">
        <f t="shared" si="1"/>
        <v>0</v>
      </c>
      <c r="F15" s="60">
        <v>0.32500000000000001</v>
      </c>
      <c r="G15" s="59">
        <f t="shared" si="2"/>
        <v>0</v>
      </c>
      <c r="H15" s="10">
        <v>13295000</v>
      </c>
      <c r="I15" s="59">
        <f t="shared" si="3"/>
        <v>0</v>
      </c>
    </row>
    <row r="16" spans="1:9">
      <c r="A16" s="13"/>
      <c r="B16" s="10">
        <f t="shared" si="4"/>
        <v>75000001</v>
      </c>
      <c r="C16" s="14">
        <v>99999999</v>
      </c>
      <c r="D16" s="15" t="b">
        <f t="shared" si="0"/>
        <v>0</v>
      </c>
      <c r="E16" s="61">
        <f t="shared" si="1"/>
        <v>0</v>
      </c>
      <c r="F16" s="62">
        <v>0.35</v>
      </c>
      <c r="G16" s="61">
        <f t="shared" si="2"/>
        <v>0</v>
      </c>
      <c r="H16" s="63">
        <v>21420000</v>
      </c>
      <c r="I16" s="61">
        <f t="shared" si="3"/>
        <v>0</v>
      </c>
    </row>
    <row r="17" spans="1:12">
      <c r="A17" s="16"/>
      <c r="B17" s="17"/>
      <c r="C17" s="17"/>
      <c r="D17" s="18"/>
      <c r="E17" s="64"/>
      <c r="F17" s="65"/>
      <c r="G17" s="66"/>
      <c r="H17" s="67"/>
      <c r="I17" s="66"/>
    </row>
    <row r="18" spans="1:12">
      <c r="A18" s="16"/>
      <c r="B18" s="19"/>
      <c r="C18" s="20"/>
      <c r="D18" s="21"/>
      <c r="E18" s="68"/>
      <c r="F18" s="69"/>
      <c r="G18" s="69"/>
      <c r="H18" s="69"/>
      <c r="I18" s="83"/>
    </row>
    <row r="19" spans="1:12" ht="19.5">
      <c r="B19" s="22">
        <v>1</v>
      </c>
      <c r="C19" s="23"/>
      <c r="D19" s="24"/>
      <c r="E19" s="24"/>
      <c r="F19" s="24"/>
      <c r="G19" s="24"/>
      <c r="H19" s="24"/>
      <c r="I19" s="84"/>
      <c r="J19" s="85" t="s">
        <v>33</v>
      </c>
      <c r="K19" s="1" t="s">
        <v>34</v>
      </c>
      <c r="L19" s="86" t="s">
        <v>35</v>
      </c>
    </row>
    <row r="20" spans="1:12">
      <c r="B20" s="25" t="s">
        <v>36</v>
      </c>
      <c r="C20" s="26"/>
      <c r="D20" s="26"/>
      <c r="E20" s="26"/>
      <c r="F20" s="26"/>
      <c r="G20" s="26"/>
      <c r="H20" s="70"/>
      <c r="I20" s="87">
        <f>((84000-1680)*12)+44800+44800+41402</f>
        <v>1118842</v>
      </c>
      <c r="J20" s="88"/>
      <c r="K20" s="89"/>
      <c r="L20" s="90"/>
    </row>
    <row r="21" spans="1:12" ht="15" customHeight="1">
      <c r="B21" s="27"/>
      <c r="C21" s="28"/>
      <c r="D21" s="28"/>
      <c r="E21" s="24"/>
      <c r="F21" s="24"/>
      <c r="G21" s="24"/>
      <c r="H21" s="24"/>
      <c r="I21" s="84"/>
    </row>
    <row r="22" spans="1:12" ht="17.25" customHeight="1">
      <c r="B22" s="22">
        <v>2</v>
      </c>
      <c r="C22" s="29"/>
      <c r="D22" s="17"/>
      <c r="E22" s="64"/>
      <c r="F22" s="24"/>
      <c r="G22" s="24"/>
      <c r="H22" s="24"/>
      <c r="I22" s="91"/>
      <c r="J22"/>
    </row>
    <row r="23" spans="1:12">
      <c r="B23" s="25" t="s">
        <v>37</v>
      </c>
      <c r="C23" s="26"/>
      <c r="D23" s="30"/>
      <c r="E23" s="26"/>
      <c r="F23" s="26"/>
      <c r="G23" s="26"/>
      <c r="H23" s="26"/>
      <c r="I23" s="92">
        <f>SUM(I5:I16)</f>
        <v>25942.100000000002</v>
      </c>
    </row>
    <row r="24" spans="1:12">
      <c r="B24" s="31" t="s">
        <v>38</v>
      </c>
      <c r="C24" s="26"/>
      <c r="D24" s="26"/>
      <c r="E24" s="26"/>
      <c r="F24" s="26"/>
      <c r="G24" s="26"/>
      <c r="H24" s="26"/>
      <c r="I24" s="93">
        <f>IF(tax_income&lt;1000000,IF(J24="YES",tax_lib*50%,0),0)</f>
        <v>0</v>
      </c>
      <c r="J24" s="94" t="s">
        <v>39</v>
      </c>
      <c r="K24" s="95" t="s">
        <v>40</v>
      </c>
    </row>
    <row r="25" spans="1:12">
      <c r="B25" s="31" t="s">
        <v>41</v>
      </c>
      <c r="C25" s="26"/>
      <c r="D25" s="26"/>
      <c r="E25" s="26"/>
      <c r="F25" s="26"/>
      <c r="G25" s="26"/>
      <c r="H25" s="26"/>
      <c r="I25" s="93">
        <f>IF(J25="YES",tax_lib*40%,0)</f>
        <v>0</v>
      </c>
      <c r="J25" s="94" t="s">
        <v>39</v>
      </c>
      <c r="K25" s="95" t="s">
        <v>40</v>
      </c>
    </row>
    <row r="26" spans="1:12" ht="15.75">
      <c r="B26" s="27"/>
      <c r="C26" s="28"/>
      <c r="D26" s="28"/>
      <c r="E26" s="24"/>
      <c r="F26" s="18"/>
      <c r="G26" s="24"/>
      <c r="H26" s="24"/>
      <c r="I26" s="91"/>
      <c r="J26"/>
    </row>
    <row r="27" spans="1:12" ht="15.75">
      <c r="B27" s="27"/>
      <c r="C27" s="28"/>
      <c r="D27" s="28"/>
      <c r="E27" s="24"/>
      <c r="F27" s="18"/>
      <c r="G27" s="24"/>
      <c r="H27" s="24"/>
      <c r="I27" s="91"/>
      <c r="J27"/>
    </row>
    <row r="28" spans="1:12" ht="17.25" hidden="1" customHeight="1">
      <c r="B28" s="22">
        <v>3</v>
      </c>
      <c r="C28" s="23"/>
      <c r="D28" s="18"/>
      <c r="E28" s="24"/>
      <c r="F28" s="24"/>
      <c r="G28" s="64"/>
      <c r="H28" s="24"/>
      <c r="I28" s="84"/>
      <c r="J28"/>
    </row>
    <row r="29" spans="1:12" ht="14.1" hidden="1" customHeight="1">
      <c r="B29" s="32" t="s">
        <v>42</v>
      </c>
      <c r="C29" s="33"/>
      <c r="D29" s="33"/>
      <c r="E29" s="71"/>
      <c r="F29" s="71"/>
      <c r="G29" s="72" t="s">
        <v>43</v>
      </c>
      <c r="H29" s="73" t="s">
        <v>44</v>
      </c>
      <c r="I29" s="96" t="s">
        <v>45</v>
      </c>
    </row>
    <row r="30" spans="1:12" ht="14.1" hidden="1" customHeight="1">
      <c r="B30" s="34" t="s">
        <v>46</v>
      </c>
      <c r="C30" s="35"/>
      <c r="D30" s="36"/>
      <c r="E30" s="74"/>
      <c r="F30" s="75"/>
      <c r="G30" s="76">
        <v>0</v>
      </c>
      <c r="H30" s="77">
        <f>IF(G30&gt;0,MIN(tax_income*30%,G30),0)</f>
        <v>0</v>
      </c>
      <c r="I30" s="97">
        <f>IF(H30=0,0,tax_lib/tax_income*H30)</f>
        <v>0</v>
      </c>
    </row>
    <row r="31" spans="1:12" ht="14.1" hidden="1" customHeight="1">
      <c r="B31" s="37" t="s">
        <v>47</v>
      </c>
      <c r="C31" s="38"/>
      <c r="D31" s="39"/>
      <c r="E31" s="26"/>
      <c r="F31" s="70"/>
      <c r="G31" s="78"/>
      <c r="H31" s="79">
        <f>IF(G31&gt;0,MIN(G31,1500000,tax_income*20%),0)</f>
        <v>0</v>
      </c>
      <c r="I31" s="98">
        <f>IF(H31=0,0,(tax_lib/tax_income)*H31)</f>
        <v>0</v>
      </c>
      <c r="K31" s="99">
        <f>I26/tax_income*H31</f>
        <v>0</v>
      </c>
    </row>
    <row r="32" spans="1:12" ht="14.1" hidden="1" customHeight="1">
      <c r="B32" s="37" t="s">
        <v>48</v>
      </c>
      <c r="C32" s="38"/>
      <c r="D32" s="40"/>
      <c r="E32" s="26"/>
      <c r="F32" s="70"/>
      <c r="G32" s="78">
        <v>0</v>
      </c>
      <c r="H32" s="79">
        <f>IF(G32&gt;0,MIN(G32,tax_income*20%,500000),0)</f>
        <v>0</v>
      </c>
      <c r="I32" s="98">
        <f>IF(H32=0,0,(tax_lib/tax_income)*H32)</f>
        <v>0</v>
      </c>
      <c r="K32" s="99">
        <f>I31-K31</f>
        <v>0</v>
      </c>
    </row>
    <row r="33" spans="1:10" ht="14.1" hidden="1" customHeight="1">
      <c r="B33" s="37" t="s">
        <v>49</v>
      </c>
      <c r="C33" s="38"/>
      <c r="D33" s="40"/>
      <c r="E33" s="26"/>
      <c r="F33" s="70"/>
      <c r="G33" s="78">
        <v>0</v>
      </c>
      <c r="H33" s="79">
        <f>IF(G33&gt;0,MIN(G33,1000000,tax_income*50%),0)</f>
        <v>0</v>
      </c>
      <c r="I33" s="98">
        <f>IF(tax_income=0,0,(tax_lib/tax_income)*H33)</f>
        <v>0</v>
      </c>
    </row>
    <row r="34" spans="1:10" ht="14.1" hidden="1" customHeight="1">
      <c r="B34" s="41"/>
      <c r="C34" s="42" t="s">
        <v>50</v>
      </c>
      <c r="D34" s="42"/>
      <c r="E34" s="18"/>
      <c r="F34" s="24"/>
      <c r="G34" s="64"/>
      <c r="H34" s="28"/>
      <c r="I34" s="100"/>
      <c r="J34"/>
    </row>
    <row r="35" spans="1:10" ht="18" customHeight="1">
      <c r="A35"/>
      <c r="B35" s="22">
        <v>4</v>
      </c>
      <c r="C35" s="43"/>
      <c r="D35" s="28"/>
      <c r="E35" s="28"/>
      <c r="F35" s="24"/>
      <c r="G35" s="24"/>
      <c r="H35" s="24"/>
      <c r="I35" s="84"/>
      <c r="J35"/>
    </row>
    <row r="36" spans="1:10" ht="15.75">
      <c r="A36"/>
      <c r="B36" s="44" t="s">
        <v>51</v>
      </c>
      <c r="C36" s="45"/>
      <c r="D36" s="45"/>
      <c r="E36" s="45"/>
      <c r="F36" s="45"/>
      <c r="G36" s="45"/>
      <c r="H36" s="45"/>
      <c r="I36" s="101">
        <f>SUM(I24:I25)+SUM(I30:I33)</f>
        <v>0</v>
      </c>
    </row>
    <row r="37" spans="1:10" ht="15.75">
      <c r="A37"/>
      <c r="B37" s="46" t="s">
        <v>52</v>
      </c>
      <c r="C37" s="47"/>
      <c r="D37" s="47"/>
      <c r="E37" s="47"/>
      <c r="F37" s="47"/>
      <c r="G37" s="47"/>
      <c r="H37" s="47"/>
      <c r="I37" s="102">
        <f>I23-I36</f>
        <v>25942.100000000002</v>
      </c>
    </row>
    <row r="38" spans="1:10" ht="15.75">
      <c r="A38"/>
      <c r="B38" s="41" t="s">
        <v>53</v>
      </c>
      <c r="C38" s="24"/>
      <c r="D38" s="24"/>
      <c r="E38" s="24"/>
      <c r="F38" s="24"/>
      <c r="G38" s="24"/>
      <c r="H38" s="24"/>
      <c r="I38" s="103"/>
    </row>
    <row r="39" spans="1:10" ht="15.75">
      <c r="A39"/>
      <c r="B39" s="48" t="s">
        <v>54</v>
      </c>
      <c r="C39" s="49"/>
      <c r="D39" s="49"/>
      <c r="E39" s="80"/>
      <c r="F39" s="80"/>
      <c r="G39" s="80"/>
      <c r="H39" s="80"/>
      <c r="I39" s="104">
        <f>I37-I38</f>
        <v>25942.100000000002</v>
      </c>
    </row>
    <row r="40" spans="1:10" ht="14.25">
      <c r="B40" s="50" t="s">
        <v>55</v>
      </c>
      <c r="C40" s="51"/>
      <c r="D40" s="51"/>
      <c r="E40" s="81"/>
      <c r="F40" s="81"/>
      <c r="G40" s="81"/>
      <c r="H40" s="81"/>
      <c r="I40" s="105">
        <v>12</v>
      </c>
    </row>
    <row r="41" spans="1:10" ht="14.25">
      <c r="B41" s="52" t="s">
        <v>56</v>
      </c>
      <c r="C41" s="53"/>
      <c r="D41" s="53"/>
      <c r="E41" s="74"/>
      <c r="F41" s="74"/>
      <c r="G41" s="74"/>
      <c r="H41" s="74"/>
      <c r="I41" s="106">
        <f>IFERROR(ROUND(I39/I40,0),0)</f>
        <v>2162</v>
      </c>
    </row>
    <row r="42" spans="1:10">
      <c r="B42" s="41"/>
      <c r="C42" s="24"/>
      <c r="D42" s="24"/>
      <c r="E42" s="24"/>
      <c r="F42" s="24"/>
      <c r="G42" s="24"/>
      <c r="H42" s="24"/>
      <c r="I42" s="84"/>
    </row>
    <row r="43" spans="1:10">
      <c r="B43" s="54"/>
      <c r="C43" s="55"/>
      <c r="D43" s="55"/>
      <c r="E43" s="55"/>
      <c r="F43" s="55"/>
      <c r="G43" s="55"/>
      <c r="H43" s="55"/>
      <c r="I43" s="107"/>
    </row>
    <row r="46" spans="1:10" ht="15.75">
      <c r="A46" s="410" t="s">
        <v>57</v>
      </c>
      <c r="B46" s="411"/>
      <c r="C46" s="411"/>
      <c r="D46" s="411"/>
      <c r="E46" s="411"/>
      <c r="F46" s="411"/>
      <c r="G46" s="411"/>
      <c r="H46" s="411"/>
      <c r="I46" s="411"/>
      <c r="J46" s="412"/>
    </row>
    <row r="47" spans="1:10" ht="14.25">
      <c r="A47" s="413" t="s">
        <v>58</v>
      </c>
      <c r="B47" s="414"/>
      <c r="C47" s="414"/>
      <c r="D47" s="414"/>
      <c r="E47" s="414"/>
      <c r="F47" s="414"/>
      <c r="G47" s="414"/>
      <c r="H47" s="414"/>
      <c r="I47" s="414"/>
      <c r="J47" s="415"/>
    </row>
    <row r="48" spans="1:10" ht="16.5">
      <c r="A48" s="416"/>
      <c r="B48" s="417"/>
      <c r="C48" s="417"/>
      <c r="D48" s="417"/>
      <c r="E48" s="417"/>
      <c r="F48" s="417"/>
      <c r="G48" s="417"/>
      <c r="H48" s="417"/>
      <c r="I48" s="417"/>
      <c r="J48" s="418"/>
    </row>
    <row r="49" spans="1:10" ht="14.25">
      <c r="A49" s="419"/>
      <c r="B49" s="420"/>
      <c r="C49" s="420"/>
      <c r="D49" s="420"/>
      <c r="E49" s="420"/>
      <c r="F49" s="420"/>
      <c r="G49" s="420"/>
      <c r="H49" s="420"/>
      <c r="I49" s="420"/>
      <c r="J49" s="421"/>
    </row>
    <row r="50" spans="1:10" ht="14.25">
      <c r="A50" s="422"/>
      <c r="B50" s="423"/>
      <c r="C50" s="423"/>
      <c r="D50" s="423"/>
      <c r="E50" s="423"/>
      <c r="F50" s="423"/>
      <c r="G50" s="423"/>
      <c r="H50" s="423"/>
      <c r="I50" s="423"/>
      <c r="J50" s="424"/>
    </row>
    <row r="51" spans="1:10" ht="14.25" customHeight="1">
      <c r="A51" s="425"/>
      <c r="B51" s="426"/>
      <c r="C51" s="426"/>
      <c r="D51" s="426"/>
      <c r="E51" s="426"/>
      <c r="F51" s="426"/>
      <c r="G51" s="426"/>
      <c r="H51" s="426"/>
      <c r="I51" s="426"/>
      <c r="J51" s="427"/>
    </row>
  </sheetData>
  <mergeCells count="10">
    <mergeCell ref="A47:J47"/>
    <mergeCell ref="A48:J48"/>
    <mergeCell ref="A49:J49"/>
    <mergeCell ref="A50:J50"/>
    <mergeCell ref="A51:J51"/>
    <mergeCell ref="A1:B1"/>
    <mergeCell ref="C1:F1"/>
    <mergeCell ref="A2:B2"/>
    <mergeCell ref="C2:F2"/>
    <mergeCell ref="A46:J46"/>
  </mergeCells>
  <conditionalFormatting sqref="A5:I17">
    <cfRule type="expression" dxfId="0" priority="1">
      <formula>$D5</formula>
    </cfRule>
  </conditionalFormatting>
  <dataValidations count="1">
    <dataValidation type="list" allowBlank="1" showInputMessage="1" showErrorMessage="1" sqref="J24:J25">
      <formula1>"YES,NO"</formula1>
    </dataValidation>
  </dataValidations>
  <printOptions horizontalCentered="1"/>
  <pageMargins left="0.25" right="0.25" top="0.25" bottom="0.2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Salary Sheet</vt:lpstr>
      <vt:lpstr>Tax Calculations</vt:lpstr>
      <vt:lpstr>Salary Slip</vt:lpstr>
      <vt:lpstr>Salary Transfer Letter</vt:lpstr>
      <vt:lpstr>Cheque Print</vt:lpstr>
      <vt:lpstr>hbl</vt:lpstr>
      <vt:lpstr>Tax Calc</vt:lpstr>
      <vt:lpstr>'Cheque Print'!Print_Area</vt:lpstr>
      <vt:lpstr>'Salary Slip'!Print_Area</vt:lpstr>
      <vt:lpstr>'Salary Transfer Letter'!Print_Area</vt:lpstr>
      <vt:lpstr>'Tax Calc'!Print_Area</vt:lpstr>
      <vt:lpstr>tax_income</vt:lpstr>
      <vt:lpstr>tax_lib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</dc:creator>
  <cp:lastModifiedBy>Muhammad Daniyal</cp:lastModifiedBy>
  <cp:lastPrinted>2022-07-05T19:40:33Z</cp:lastPrinted>
  <dcterms:created xsi:type="dcterms:W3CDTF">2017-11-24T21:10:00Z</dcterms:created>
  <dcterms:modified xsi:type="dcterms:W3CDTF">2022-07-19T14:12:23Z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